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70" windowWidth="18195" windowHeight="7500"/>
  </bookViews>
  <sheets>
    <sheet name="Introduction" sheetId="11" r:id="rId1"/>
    <sheet name="Instructions" sheetId="3" r:id="rId2"/>
    <sheet name="Summary Report" sheetId="10" r:id="rId3"/>
    <sheet name="Financial Report " sheetId="9" r:id="rId4"/>
    <sheet name="Non Financial Statistics Report" sheetId="1" r:id="rId5"/>
    <sheet name="Financial Data Input" sheetId="4" r:id="rId6"/>
    <sheet name="Graph Data and Workings" sheetId="8" state="hidden" r:id="rId7"/>
  </sheets>
  <definedNames>
    <definedName name="Goal1">'Non Financial Statistics Report'!#REF!</definedName>
    <definedName name="Goal2">'Non Financial Statistics Report'!#REF!</definedName>
    <definedName name="Membership_Statistics">'Non Financial Statistics Report'!#REF!</definedName>
    <definedName name="_xlnm.Print_Area" localSheetId="3">'Financial Report '!$A$1:$R$242</definedName>
    <definedName name="_xlnm.Print_Area" localSheetId="1">Instructions!$A$1:$K$48</definedName>
    <definedName name="_xlnm.Print_Area" localSheetId="4">'Non Financial Statistics Report'!$A$1:$Q$59</definedName>
    <definedName name="_xlnm.Print_Area" localSheetId="2">'Summary Report'!$A$1:$R$110</definedName>
    <definedName name="_xlnm.Print_Titles" localSheetId="5">'Financial Data Input'!$1:$3</definedName>
    <definedName name="_xlnm.Print_Titles" localSheetId="3">'Financial Report '!$1:$2</definedName>
    <definedName name="_xlnm.Print_Titles" localSheetId="4">'Non Financial Statistics Report'!$1:$2</definedName>
    <definedName name="Test">'Financial Report '!#REF!</definedName>
  </definedNames>
  <calcPr calcId="145621"/>
</workbook>
</file>

<file path=xl/calcChain.xml><?xml version="1.0" encoding="utf-8"?>
<calcChain xmlns="http://schemas.openxmlformats.org/spreadsheetml/2006/main">
  <c r="D182" i="4" l="1"/>
  <c r="E182" i="4"/>
  <c r="F182" i="4"/>
  <c r="G182" i="4"/>
  <c r="H182" i="4"/>
  <c r="A173" i="4"/>
  <c r="Q25" i="1"/>
  <c r="C171" i="8"/>
  <c r="D171" i="8" s="1"/>
  <c r="E171" i="8" s="1"/>
  <c r="F171" i="8" s="1"/>
  <c r="G171" i="8" s="1"/>
  <c r="H171" i="8" s="1"/>
  <c r="I171" i="8" s="1"/>
  <c r="J171" i="8" s="1"/>
  <c r="K171" i="8" s="1"/>
  <c r="L171" i="8" s="1"/>
  <c r="M171" i="8" s="1"/>
  <c r="B171" i="8"/>
  <c r="M134" i="8"/>
  <c r="L134" i="8"/>
  <c r="K134" i="8"/>
  <c r="J134" i="8"/>
  <c r="I134" i="8"/>
  <c r="H134" i="8"/>
  <c r="G134" i="8"/>
  <c r="F134" i="8"/>
  <c r="E134" i="8"/>
  <c r="D134" i="8"/>
  <c r="C134" i="8"/>
  <c r="B134" i="8"/>
  <c r="M129" i="8"/>
  <c r="L129" i="8"/>
  <c r="K129" i="8"/>
  <c r="J129" i="8"/>
  <c r="I129" i="8"/>
  <c r="H129" i="8"/>
  <c r="G129" i="8"/>
  <c r="F129" i="8"/>
  <c r="E129" i="8"/>
  <c r="D129" i="8"/>
  <c r="C129" i="8"/>
  <c r="B129" i="8"/>
  <c r="E271" i="4"/>
  <c r="M159" i="8"/>
  <c r="L159" i="8"/>
  <c r="L161" i="8" s="1"/>
  <c r="L167" i="8" s="1"/>
  <c r="L170" i="8" s="1"/>
  <c r="K159" i="8"/>
  <c r="J159" i="8"/>
  <c r="I159" i="8"/>
  <c r="H159" i="8"/>
  <c r="G159" i="8"/>
  <c r="M163" i="8"/>
  <c r="L163" i="8"/>
  <c r="K163" i="8"/>
  <c r="J163" i="8"/>
  <c r="I163" i="8"/>
  <c r="H163" i="8"/>
  <c r="G163" i="8"/>
  <c r="F163" i="8"/>
  <c r="E163" i="8"/>
  <c r="D163" i="8"/>
  <c r="C163" i="8"/>
  <c r="M162" i="8"/>
  <c r="L162" i="8"/>
  <c r="K162" i="8"/>
  <c r="J162" i="8"/>
  <c r="I162" i="8"/>
  <c r="H162" i="8"/>
  <c r="G162" i="8"/>
  <c r="F162" i="8"/>
  <c r="E162" i="8"/>
  <c r="D162" i="8"/>
  <c r="C162" i="8"/>
  <c r="B163" i="8"/>
  <c r="B162" i="8"/>
  <c r="M160" i="8"/>
  <c r="L160" i="8"/>
  <c r="K160" i="8"/>
  <c r="J160" i="8"/>
  <c r="I160" i="8"/>
  <c r="H160" i="8"/>
  <c r="G160" i="8"/>
  <c r="F160" i="8"/>
  <c r="E160" i="8"/>
  <c r="D160" i="8"/>
  <c r="C160" i="8"/>
  <c r="B160" i="8"/>
  <c r="B164" i="8" l="1"/>
  <c r="B165" i="8" s="1"/>
  <c r="B166" i="8" s="1"/>
  <c r="H161" i="8"/>
  <c r="H167" i="8" s="1"/>
  <c r="H170" i="8" s="1"/>
  <c r="C164" i="8"/>
  <c r="C165" i="8" s="1"/>
  <c r="C166" i="8" s="1"/>
  <c r="G164" i="8"/>
  <c r="G165" i="8" s="1"/>
  <c r="G166" i="8" s="1"/>
  <c r="J161" i="8"/>
  <c r="J167" i="8" s="1"/>
  <c r="J170" i="8" s="1"/>
  <c r="K164" i="8"/>
  <c r="K165" i="8" s="1"/>
  <c r="K166" i="8" s="1"/>
  <c r="D164" i="8"/>
  <c r="D165" i="8" s="1"/>
  <c r="D166" i="8" s="1"/>
  <c r="L164" i="8"/>
  <c r="L165" i="8" s="1"/>
  <c r="L166" i="8" s="1"/>
  <c r="I161" i="8"/>
  <c r="I167" i="8" s="1"/>
  <c r="I170" i="8" s="1"/>
  <c r="K161" i="8"/>
  <c r="K167" i="8" s="1"/>
  <c r="K170" i="8" s="1"/>
  <c r="H164" i="8"/>
  <c r="H165" i="8" s="1"/>
  <c r="H166" i="8" s="1"/>
  <c r="M161" i="8"/>
  <c r="M167" i="8" s="1"/>
  <c r="M170" i="8" s="1"/>
  <c r="G161" i="8"/>
  <c r="G167" i="8" s="1"/>
  <c r="G170" i="8" s="1"/>
  <c r="E164" i="8"/>
  <c r="E165" i="8" s="1"/>
  <c r="E166" i="8" s="1"/>
  <c r="I164" i="8"/>
  <c r="I165" i="8" s="1"/>
  <c r="I166" i="8" s="1"/>
  <c r="M164" i="8"/>
  <c r="M165" i="8" s="1"/>
  <c r="M166" i="8" s="1"/>
  <c r="F164" i="8"/>
  <c r="F165" i="8" s="1"/>
  <c r="F166" i="8" s="1"/>
  <c r="J164" i="8"/>
  <c r="J165" i="8" s="1"/>
  <c r="J166" i="8" s="1"/>
  <c r="B57" i="10" l="1"/>
  <c r="Q136" i="4"/>
  <c r="A136" i="4"/>
  <c r="H57" i="4"/>
  <c r="G57" i="4"/>
  <c r="F57" i="4"/>
  <c r="E57" i="4"/>
  <c r="M143" i="8"/>
  <c r="L143" i="8"/>
  <c r="K143" i="8"/>
  <c r="J143" i="8"/>
  <c r="I143" i="8"/>
  <c r="H143" i="8"/>
  <c r="G143" i="8"/>
  <c r="M142" i="8"/>
  <c r="L142" i="8"/>
  <c r="K142" i="8"/>
  <c r="J142" i="8"/>
  <c r="I142" i="8"/>
  <c r="H142" i="8"/>
  <c r="G142" i="8"/>
  <c r="A139" i="8"/>
  <c r="M139" i="8"/>
  <c r="L139" i="8"/>
  <c r="K139" i="8"/>
  <c r="J139" i="8"/>
  <c r="I139" i="8"/>
  <c r="H139" i="8"/>
  <c r="G139" i="8"/>
  <c r="M138" i="8"/>
  <c r="L138" i="8"/>
  <c r="K138" i="8"/>
  <c r="J138" i="8"/>
  <c r="I138" i="8"/>
  <c r="H138" i="8"/>
  <c r="G138" i="8"/>
  <c r="F138" i="8"/>
  <c r="E138" i="8"/>
  <c r="D138" i="8"/>
  <c r="C138" i="8"/>
  <c r="M137" i="8"/>
  <c r="L137" i="8"/>
  <c r="K137" i="8"/>
  <c r="J137" i="8"/>
  <c r="I137" i="8"/>
  <c r="H137" i="8"/>
  <c r="G137" i="8"/>
  <c r="B138" i="8"/>
  <c r="A138" i="8"/>
  <c r="A137" i="8"/>
  <c r="O186" i="4"/>
  <c r="N186" i="4"/>
  <c r="M186" i="4"/>
  <c r="L186" i="4"/>
  <c r="K186" i="4"/>
  <c r="J186" i="4"/>
  <c r="I186" i="4"/>
  <c r="O184" i="4"/>
  <c r="N184" i="4"/>
  <c r="M184" i="4"/>
  <c r="L184" i="4"/>
  <c r="K184" i="4"/>
  <c r="J184" i="4"/>
  <c r="I184" i="4"/>
  <c r="M133" i="8"/>
  <c r="L133" i="8"/>
  <c r="K133" i="8"/>
  <c r="J133" i="8"/>
  <c r="I133" i="8"/>
  <c r="H133" i="8"/>
  <c r="G133" i="8"/>
  <c r="F133" i="8"/>
  <c r="E133" i="8"/>
  <c r="D133" i="8"/>
  <c r="C133" i="8"/>
  <c r="M132" i="8"/>
  <c r="L132" i="8"/>
  <c r="K132" i="8"/>
  <c r="J132" i="8"/>
  <c r="I132" i="8"/>
  <c r="H132" i="8"/>
  <c r="G132" i="8"/>
  <c r="F132" i="8"/>
  <c r="E132" i="8"/>
  <c r="D132" i="8"/>
  <c r="C132" i="8"/>
  <c r="B133" i="8"/>
  <c r="B132" i="8"/>
  <c r="M128" i="8"/>
  <c r="L128" i="8"/>
  <c r="K128" i="8"/>
  <c r="J128" i="8"/>
  <c r="I128" i="8"/>
  <c r="H128" i="8"/>
  <c r="G128" i="8"/>
  <c r="F128" i="8"/>
  <c r="E128" i="8"/>
  <c r="D128" i="8"/>
  <c r="C128" i="8"/>
  <c r="M127" i="8"/>
  <c r="L127" i="8"/>
  <c r="K127" i="8"/>
  <c r="J127" i="8"/>
  <c r="I127" i="8"/>
  <c r="H127" i="8"/>
  <c r="G127" i="8"/>
  <c r="F127" i="8"/>
  <c r="E127" i="8"/>
  <c r="D127" i="8"/>
  <c r="C127" i="8"/>
  <c r="B128" i="8"/>
  <c r="B127" i="8"/>
  <c r="A131" i="8"/>
  <c r="A126" i="8"/>
  <c r="F277" i="4"/>
  <c r="G277" i="4" s="1"/>
  <c r="H277" i="4" s="1"/>
  <c r="I277" i="4" s="1"/>
  <c r="J277" i="4" s="1"/>
  <c r="K277" i="4" s="1"/>
  <c r="L277" i="4" s="1"/>
  <c r="M277" i="4" s="1"/>
  <c r="N277" i="4" s="1"/>
  <c r="O277" i="4" s="1"/>
  <c r="E277" i="4"/>
  <c r="D277" i="4"/>
  <c r="O271" i="4"/>
  <c r="N271" i="4"/>
  <c r="M271" i="4"/>
  <c r="L271" i="4"/>
  <c r="K271" i="4"/>
  <c r="J271" i="4"/>
  <c r="I271" i="4"/>
  <c r="H271" i="4"/>
  <c r="G271" i="4"/>
  <c r="F271" i="4"/>
  <c r="D271" i="4"/>
  <c r="H203" i="9"/>
  <c r="H202" i="9"/>
  <c r="B222" i="9"/>
  <c r="B221" i="9"/>
  <c r="B220" i="9"/>
  <c r="B218" i="9"/>
  <c r="F146" i="8" s="1"/>
  <c r="F151" i="8" s="1"/>
  <c r="B216" i="9"/>
  <c r="B215" i="9"/>
  <c r="B214" i="9"/>
  <c r="B212" i="9"/>
  <c r="E146" i="8" s="1"/>
  <c r="E151" i="8" s="1"/>
  <c r="B210" i="9"/>
  <c r="B209" i="9"/>
  <c r="B208" i="9"/>
  <c r="B206" i="9"/>
  <c r="D146" i="8" s="1"/>
  <c r="D151" i="8" s="1"/>
  <c r="B204" i="9"/>
  <c r="B203" i="9"/>
  <c r="B202" i="9"/>
  <c r="B200" i="9"/>
  <c r="C146" i="8" s="1"/>
  <c r="C151" i="8" s="1"/>
  <c r="H196" i="9"/>
  <c r="B198" i="9"/>
  <c r="B197" i="9"/>
  <c r="B196" i="9"/>
  <c r="B194" i="9"/>
  <c r="B146" i="8" s="1"/>
  <c r="B151" i="8" s="1"/>
  <c r="O266" i="4"/>
  <c r="N266" i="4"/>
  <c r="M266" i="4"/>
  <c r="L266" i="4"/>
  <c r="K266" i="4"/>
  <c r="J266" i="4"/>
  <c r="I266" i="4"/>
  <c r="H266" i="4"/>
  <c r="G266" i="4"/>
  <c r="F266" i="4"/>
  <c r="E266" i="4"/>
  <c r="D266" i="4"/>
  <c r="Q265" i="4"/>
  <c r="Q264" i="4"/>
  <c r="O260" i="4"/>
  <c r="N260" i="4"/>
  <c r="M260" i="4"/>
  <c r="L260" i="4"/>
  <c r="K260" i="4"/>
  <c r="J260" i="4"/>
  <c r="I260" i="4"/>
  <c r="H260" i="4"/>
  <c r="G260" i="4"/>
  <c r="F260" i="4"/>
  <c r="E260" i="4"/>
  <c r="D260" i="4"/>
  <c r="Q259" i="4"/>
  <c r="Q258" i="4"/>
  <c r="O254" i="4"/>
  <c r="N254" i="4"/>
  <c r="M254" i="4"/>
  <c r="L254" i="4"/>
  <c r="K254" i="4"/>
  <c r="J254" i="4"/>
  <c r="I254" i="4"/>
  <c r="H254" i="4"/>
  <c r="G254" i="4"/>
  <c r="F254" i="4"/>
  <c r="E254" i="4"/>
  <c r="D254" i="4"/>
  <c r="Q253" i="4"/>
  <c r="Q252" i="4"/>
  <c r="O248" i="4"/>
  <c r="N248" i="4"/>
  <c r="M248" i="4"/>
  <c r="L248" i="4"/>
  <c r="K248" i="4"/>
  <c r="J248" i="4"/>
  <c r="I248" i="4"/>
  <c r="H248" i="4"/>
  <c r="G248" i="4"/>
  <c r="F248" i="4"/>
  <c r="E248" i="4"/>
  <c r="D248" i="4"/>
  <c r="Q247" i="4"/>
  <c r="Q246" i="4"/>
  <c r="O242" i="4"/>
  <c r="N242" i="4"/>
  <c r="M242" i="4"/>
  <c r="L242" i="4"/>
  <c r="K242" i="4"/>
  <c r="J242" i="4"/>
  <c r="I242" i="4"/>
  <c r="H242" i="4"/>
  <c r="G242" i="4"/>
  <c r="F242" i="4"/>
  <c r="E242" i="4"/>
  <c r="D242" i="4"/>
  <c r="Q241" i="4"/>
  <c r="Q240" i="4"/>
  <c r="O233" i="4"/>
  <c r="N233" i="4"/>
  <c r="M233" i="4"/>
  <c r="L233" i="4"/>
  <c r="K233" i="4"/>
  <c r="J233" i="4"/>
  <c r="I233" i="4"/>
  <c r="H233" i="4"/>
  <c r="G233" i="4"/>
  <c r="F233" i="4"/>
  <c r="E233" i="4"/>
  <c r="D233" i="4"/>
  <c r="Q232" i="4"/>
  <c r="H221" i="9" s="1"/>
  <c r="Q231" i="4"/>
  <c r="H220" i="9" s="1"/>
  <c r="O227" i="4"/>
  <c r="N227" i="4"/>
  <c r="M227" i="4"/>
  <c r="L227" i="4"/>
  <c r="K227" i="4"/>
  <c r="J227" i="4"/>
  <c r="I227" i="4"/>
  <c r="H227" i="4"/>
  <c r="G227" i="4"/>
  <c r="F227" i="4"/>
  <c r="E227" i="4"/>
  <c r="D227" i="4"/>
  <c r="Q227" i="4" s="1"/>
  <c r="H216" i="9" s="1"/>
  <c r="E147" i="8" s="1"/>
  <c r="O221" i="4"/>
  <c r="N221" i="4"/>
  <c r="M221" i="4"/>
  <c r="L221" i="4"/>
  <c r="K221" i="4"/>
  <c r="J221" i="4"/>
  <c r="I221" i="4"/>
  <c r="H221" i="4"/>
  <c r="G221" i="4"/>
  <c r="F221" i="4"/>
  <c r="E221" i="4"/>
  <c r="D221" i="4"/>
  <c r="Q221" i="4" s="1"/>
  <c r="H210" i="9" s="1"/>
  <c r="D147" i="8" s="1"/>
  <c r="O215" i="4"/>
  <c r="N215" i="4"/>
  <c r="M215" i="4"/>
  <c r="L215" i="4"/>
  <c r="K215" i="4"/>
  <c r="J215" i="4"/>
  <c r="I215" i="4"/>
  <c r="H215" i="4"/>
  <c r="Q215" i="4" s="1"/>
  <c r="H204" i="9" s="1"/>
  <c r="C147" i="8" s="1"/>
  <c r="G215" i="4"/>
  <c r="F215" i="4"/>
  <c r="E215" i="4"/>
  <c r="D215" i="4"/>
  <c r="Q226" i="4"/>
  <c r="H215" i="9" s="1"/>
  <c r="Q225" i="4"/>
  <c r="H214" i="9" s="1"/>
  <c r="Q220" i="4"/>
  <c r="H209" i="9" s="1"/>
  <c r="Q219" i="4"/>
  <c r="H208" i="9" s="1"/>
  <c r="Q214" i="4"/>
  <c r="Q213" i="4"/>
  <c r="Q208" i="4"/>
  <c r="H197" i="9" s="1"/>
  <c r="Q207" i="4"/>
  <c r="O209" i="4"/>
  <c r="N209" i="4"/>
  <c r="M209" i="4"/>
  <c r="L209" i="4"/>
  <c r="K209" i="4"/>
  <c r="J209" i="4"/>
  <c r="I209" i="4"/>
  <c r="H209" i="4"/>
  <c r="G209" i="4"/>
  <c r="F209" i="4"/>
  <c r="E209" i="4"/>
  <c r="D209" i="4"/>
  <c r="O56" i="1"/>
  <c r="N56" i="1"/>
  <c r="M56" i="1"/>
  <c r="L56" i="1"/>
  <c r="K56" i="1"/>
  <c r="J56" i="1"/>
  <c r="I56" i="1"/>
  <c r="H56" i="1"/>
  <c r="G56" i="1"/>
  <c r="F56" i="1"/>
  <c r="E56" i="1"/>
  <c r="D56" i="1"/>
  <c r="D57" i="1" s="1"/>
  <c r="E57" i="1" s="1"/>
  <c r="O46" i="1"/>
  <c r="N46" i="1"/>
  <c r="M46" i="1"/>
  <c r="L46" i="1"/>
  <c r="K46" i="1"/>
  <c r="J46" i="1"/>
  <c r="I46" i="1"/>
  <c r="H46" i="1"/>
  <c r="G46" i="1"/>
  <c r="F46" i="1"/>
  <c r="E46" i="1"/>
  <c r="D46" i="1"/>
  <c r="D47" i="1" s="1"/>
  <c r="O36" i="1"/>
  <c r="N36" i="1"/>
  <c r="M36" i="1"/>
  <c r="L36" i="1"/>
  <c r="K36" i="1"/>
  <c r="J36" i="1"/>
  <c r="I36" i="1"/>
  <c r="H36" i="1"/>
  <c r="G36" i="1"/>
  <c r="F36" i="1"/>
  <c r="E36" i="1"/>
  <c r="D36" i="1"/>
  <c r="D37" i="1" s="1"/>
  <c r="E37" i="1" s="1"/>
  <c r="F37" i="1" l="1"/>
  <c r="G37" i="1"/>
  <c r="H37" i="1" s="1"/>
  <c r="I37" i="1" s="1"/>
  <c r="J37" i="1" s="1"/>
  <c r="K37" i="1" s="1"/>
  <c r="L37" i="1" s="1"/>
  <c r="M37" i="1" s="1"/>
  <c r="N37" i="1" s="1"/>
  <c r="O37" i="1" s="1"/>
  <c r="F57" i="1"/>
  <c r="Q233" i="4"/>
  <c r="H222" i="9" s="1"/>
  <c r="F147" i="8" s="1"/>
  <c r="Q266" i="4"/>
  <c r="Q260" i="4"/>
  <c r="Q254" i="4"/>
  <c r="Q248" i="4"/>
  <c r="Q242" i="4"/>
  <c r="Q209" i="4"/>
  <c r="H198" i="9" s="1"/>
  <c r="B147" i="8" s="1"/>
  <c r="G57" i="1"/>
  <c r="H57" i="1" s="1"/>
  <c r="I57" i="1" s="1"/>
  <c r="J57" i="1" s="1"/>
  <c r="K57" i="1" s="1"/>
  <c r="L57" i="1" s="1"/>
  <c r="M57" i="1" s="1"/>
  <c r="N57" i="1" s="1"/>
  <c r="O57" i="1" s="1"/>
  <c r="E47" i="1"/>
  <c r="F47" i="1" s="1"/>
  <c r="G47" i="1" s="1"/>
  <c r="H47" i="1" s="1"/>
  <c r="I47" i="1" s="1"/>
  <c r="J47" i="1" s="1"/>
  <c r="K47" i="1" s="1"/>
  <c r="L47" i="1" s="1"/>
  <c r="M47" i="1" s="1"/>
  <c r="N47" i="1" s="1"/>
  <c r="O47" i="1" s="1"/>
  <c r="M108" i="8"/>
  <c r="L108" i="8"/>
  <c r="K108" i="8"/>
  <c r="J108" i="8"/>
  <c r="I108" i="8"/>
  <c r="H108" i="8"/>
  <c r="G108" i="8"/>
  <c r="F108" i="8"/>
  <c r="E108" i="8"/>
  <c r="D108" i="8"/>
  <c r="C108" i="8"/>
  <c r="B108" i="8"/>
  <c r="Q193" i="4"/>
  <c r="O108" i="8" s="1"/>
  <c r="B54" i="8" s="1"/>
  <c r="B46" i="9" l="1"/>
  <c r="B45" i="9"/>
  <c r="B44" i="9"/>
  <c r="B43" i="9"/>
  <c r="B42" i="9"/>
  <c r="B41" i="9"/>
  <c r="B40" i="9"/>
  <c r="B39" i="9"/>
  <c r="B38" i="9"/>
  <c r="B21" i="9"/>
  <c r="B20" i="9"/>
  <c r="B19" i="9"/>
  <c r="B18" i="9"/>
  <c r="B17" i="9"/>
  <c r="B16" i="9"/>
  <c r="B15" i="9"/>
  <c r="B14" i="9"/>
  <c r="Q169" i="4"/>
  <c r="Q168" i="4"/>
  <c r="Q167" i="4"/>
  <c r="Q166" i="4"/>
  <c r="Q165" i="4"/>
  <c r="Q164" i="4"/>
  <c r="Q163" i="4"/>
  <c r="Q162" i="4"/>
  <c r="Q161" i="4"/>
  <c r="A169" i="4"/>
  <c r="A168" i="4"/>
  <c r="A167" i="4"/>
  <c r="A166" i="4"/>
  <c r="A165" i="4"/>
  <c r="A164" i="4"/>
  <c r="A163" i="4"/>
  <c r="A162" i="4"/>
  <c r="A161" i="4"/>
  <c r="Q143" i="4"/>
  <c r="Q142" i="4"/>
  <c r="Q141" i="4"/>
  <c r="Q140" i="4"/>
  <c r="Q139" i="4"/>
  <c r="Q138" i="4"/>
  <c r="Q137" i="4"/>
  <c r="A141" i="4"/>
  <c r="A143" i="4"/>
  <c r="A142" i="4"/>
  <c r="A140" i="4"/>
  <c r="A139" i="4"/>
  <c r="A138" i="4"/>
  <c r="A137" i="4"/>
  <c r="Q46" i="4"/>
  <c r="Q45" i="4"/>
  <c r="Q44" i="4"/>
  <c r="Q43" i="4"/>
  <c r="Q40" i="4"/>
  <c r="Q39" i="4"/>
  <c r="Q38" i="4"/>
  <c r="Q20" i="4"/>
  <c r="Q19" i="4"/>
  <c r="Q18" i="4"/>
  <c r="Q17" i="4"/>
  <c r="Q16" i="4"/>
  <c r="Q15" i="4"/>
  <c r="Q14" i="4"/>
  <c r="B8" i="8" l="1"/>
  <c r="C8" i="8" s="1"/>
  <c r="D8" i="8" s="1"/>
  <c r="E8" i="8" s="1"/>
  <c r="F8" i="8" s="1"/>
  <c r="G8" i="8" s="1"/>
  <c r="H8" i="8" s="1"/>
  <c r="I8" i="8" s="1"/>
  <c r="J8" i="8" s="1"/>
  <c r="K8" i="8" s="1"/>
  <c r="L8" i="8" s="1"/>
  <c r="M8" i="8" s="1"/>
  <c r="O147" i="4"/>
  <c r="N147" i="4"/>
  <c r="M147" i="4"/>
  <c r="L147" i="4"/>
  <c r="K147" i="4"/>
  <c r="J147" i="4"/>
  <c r="I147" i="4"/>
  <c r="H147" i="4"/>
  <c r="G147" i="4"/>
  <c r="F147" i="4"/>
  <c r="E147" i="4"/>
  <c r="D147" i="4"/>
  <c r="O24" i="4"/>
  <c r="N24" i="4"/>
  <c r="M24" i="4"/>
  <c r="L24" i="4"/>
  <c r="K24" i="4"/>
  <c r="J24" i="4"/>
  <c r="I24" i="4"/>
  <c r="H24" i="4"/>
  <c r="G24" i="4"/>
  <c r="F24" i="4"/>
  <c r="E24" i="4"/>
  <c r="D24" i="4"/>
  <c r="M34" i="8"/>
  <c r="L34" i="8"/>
  <c r="K34" i="8"/>
  <c r="J34" i="8"/>
  <c r="I34" i="8"/>
  <c r="H34" i="8"/>
  <c r="G34" i="8"/>
  <c r="F34" i="8"/>
  <c r="E34" i="8"/>
  <c r="D34" i="8"/>
  <c r="C34" i="8"/>
  <c r="B34" i="8"/>
  <c r="M33" i="8"/>
  <c r="L33" i="8"/>
  <c r="K33" i="8"/>
  <c r="J33" i="8"/>
  <c r="I33" i="8"/>
  <c r="H33" i="8"/>
  <c r="G33" i="8"/>
  <c r="F33" i="8"/>
  <c r="E33" i="8"/>
  <c r="D33" i="8"/>
  <c r="C33" i="8"/>
  <c r="B33" i="8"/>
  <c r="E86" i="8" l="1"/>
  <c r="C94" i="8" s="1"/>
  <c r="F86" i="8"/>
  <c r="C95" i="8" s="1"/>
  <c r="G86" i="8"/>
  <c r="C96" i="8" s="1"/>
  <c r="H86" i="8"/>
  <c r="C97" i="8" s="1"/>
  <c r="I86" i="8"/>
  <c r="C98" i="8" s="1"/>
  <c r="J86" i="8"/>
  <c r="C99" i="8" s="1"/>
  <c r="M86" i="8" l="1"/>
  <c r="C102" i="8" s="1"/>
  <c r="L86" i="8"/>
  <c r="C101" i="8" s="1"/>
  <c r="K86" i="8"/>
  <c r="C100" i="8" s="1"/>
  <c r="D86" i="8"/>
  <c r="C93" i="8" s="1"/>
  <c r="C86" i="8"/>
  <c r="C92" i="8" s="1"/>
  <c r="B86" i="8"/>
  <c r="H179" i="4"/>
  <c r="O179" i="4"/>
  <c r="M87" i="8" s="1"/>
  <c r="N179" i="4"/>
  <c r="L87" i="8" s="1"/>
  <c r="M179" i="4"/>
  <c r="K87" i="8" s="1"/>
  <c r="L179" i="4"/>
  <c r="J87" i="8" s="1"/>
  <c r="K179" i="4"/>
  <c r="I87" i="8" s="1"/>
  <c r="J179" i="4"/>
  <c r="H87" i="8" s="1"/>
  <c r="I179" i="4"/>
  <c r="G87" i="8" s="1"/>
  <c r="D96" i="8" s="1"/>
  <c r="G179" i="4"/>
  <c r="F179" i="4"/>
  <c r="E179" i="4"/>
  <c r="D179" i="4"/>
  <c r="A82" i="8"/>
  <c r="A81" i="8"/>
  <c r="A80" i="8"/>
  <c r="A79" i="8"/>
  <c r="A71" i="8"/>
  <c r="A70" i="8"/>
  <c r="A69" i="8"/>
  <c r="A68" i="8"/>
  <c r="G168" i="9"/>
  <c r="G167" i="9"/>
  <c r="O113" i="4"/>
  <c r="O114" i="4" s="1"/>
  <c r="N113" i="4"/>
  <c r="N114" i="4" s="1"/>
  <c r="M113" i="4"/>
  <c r="M114" i="4" s="1"/>
  <c r="L113" i="4"/>
  <c r="L114" i="4" s="1"/>
  <c r="K113" i="4"/>
  <c r="K114" i="4" s="1"/>
  <c r="J113" i="4"/>
  <c r="J114" i="4" s="1"/>
  <c r="I113" i="4"/>
  <c r="I114" i="4" s="1"/>
  <c r="O123" i="4"/>
  <c r="O124" i="4" s="1"/>
  <c r="N123" i="4"/>
  <c r="N124" i="4" s="1"/>
  <c r="M123" i="4"/>
  <c r="M124" i="4" s="1"/>
  <c r="L123" i="4"/>
  <c r="L124" i="4" s="1"/>
  <c r="K123" i="4"/>
  <c r="K124" i="4" s="1"/>
  <c r="J123" i="4"/>
  <c r="J124" i="4" s="1"/>
  <c r="I123" i="4"/>
  <c r="I124" i="4" s="1"/>
  <c r="H123" i="4"/>
  <c r="G123" i="4"/>
  <c r="F123" i="4"/>
  <c r="E123" i="4"/>
  <c r="D123" i="4"/>
  <c r="H113" i="4"/>
  <c r="G113" i="4"/>
  <c r="F113" i="4"/>
  <c r="E113" i="4"/>
  <c r="D113" i="4"/>
  <c r="D121" i="4"/>
  <c r="D125" i="4" s="1"/>
  <c r="O121" i="4"/>
  <c r="O125" i="4" s="1"/>
  <c r="N121" i="4"/>
  <c r="N125" i="4" s="1"/>
  <c r="M121" i="4"/>
  <c r="M125" i="4" s="1"/>
  <c r="L121" i="4"/>
  <c r="L125" i="4" s="1"/>
  <c r="K121" i="4"/>
  <c r="K125" i="4" s="1"/>
  <c r="J121" i="4"/>
  <c r="H79" i="8" s="1"/>
  <c r="H83" i="8" s="1"/>
  <c r="I121" i="4"/>
  <c r="I125" i="4" s="1"/>
  <c r="H121" i="4"/>
  <c r="H125" i="4" s="1"/>
  <c r="G121" i="4"/>
  <c r="G125" i="4" s="1"/>
  <c r="F121" i="4"/>
  <c r="F125" i="4" s="1"/>
  <c r="E121" i="4"/>
  <c r="E125" i="4" s="1"/>
  <c r="O111" i="4"/>
  <c r="O112" i="4" s="1"/>
  <c r="N111" i="4"/>
  <c r="L70" i="8" s="1"/>
  <c r="M111" i="4"/>
  <c r="M112" i="4" s="1"/>
  <c r="L111" i="4"/>
  <c r="L112" i="4" s="1"/>
  <c r="K111" i="4"/>
  <c r="K112" i="4" s="1"/>
  <c r="J111" i="4"/>
  <c r="H70" i="8" s="1"/>
  <c r="I111" i="4"/>
  <c r="I112" i="4" s="1"/>
  <c r="H111" i="4"/>
  <c r="H112" i="4" s="1"/>
  <c r="G111" i="4"/>
  <c r="G112" i="4" s="1"/>
  <c r="F111" i="4"/>
  <c r="F112" i="4" s="1"/>
  <c r="E111" i="4"/>
  <c r="E112" i="4" s="1"/>
  <c r="D111" i="4"/>
  <c r="D112" i="4" s="1"/>
  <c r="F87" i="8" l="1"/>
  <c r="E95" i="8" s="1"/>
  <c r="H184" i="4"/>
  <c r="E87" i="8"/>
  <c r="E94" i="8" s="1"/>
  <c r="G184" i="4"/>
  <c r="D87" i="8"/>
  <c r="E93" i="8" s="1"/>
  <c r="F184" i="4"/>
  <c r="E180" i="4"/>
  <c r="C88" i="8" s="1"/>
  <c r="E184" i="4"/>
  <c r="B87" i="8"/>
  <c r="D91" i="8" s="1"/>
  <c r="D184" i="4"/>
  <c r="G79" i="8"/>
  <c r="G83" i="8" s="1"/>
  <c r="C68" i="8"/>
  <c r="D80" i="8"/>
  <c r="E124" i="4"/>
  <c r="K68" i="8"/>
  <c r="K72" i="8" s="1"/>
  <c r="L80" i="8"/>
  <c r="J71" i="8"/>
  <c r="D180" i="4"/>
  <c r="B88" i="8" s="1"/>
  <c r="B68" i="8"/>
  <c r="H68" i="8"/>
  <c r="H72" i="8" s="1"/>
  <c r="H71" i="8"/>
  <c r="E79" i="8"/>
  <c r="I80" i="8"/>
  <c r="G114" i="4"/>
  <c r="J112" i="4"/>
  <c r="D68" i="8"/>
  <c r="L68" i="8"/>
  <c r="L72" i="8" s="1"/>
  <c r="D71" i="8"/>
  <c r="L71" i="8"/>
  <c r="I79" i="8"/>
  <c r="I83" i="8" s="1"/>
  <c r="E80" i="8"/>
  <c r="M80" i="8"/>
  <c r="D114" i="4"/>
  <c r="H114" i="4"/>
  <c r="G124" i="4"/>
  <c r="C87" i="8"/>
  <c r="E92" i="8" s="1"/>
  <c r="H69" i="8"/>
  <c r="H75" i="8" s="1"/>
  <c r="M79" i="8"/>
  <c r="M83" i="8" s="1"/>
  <c r="I81" i="8"/>
  <c r="F114" i="4"/>
  <c r="L69" i="8"/>
  <c r="L75" i="8" s="1"/>
  <c r="M81" i="8"/>
  <c r="N112" i="4"/>
  <c r="G68" i="8"/>
  <c r="G72" i="8" s="1"/>
  <c r="D69" i="8"/>
  <c r="F71" i="8"/>
  <c r="C79" i="8"/>
  <c r="K79" i="8"/>
  <c r="K83" i="8" s="1"/>
  <c r="H80" i="8"/>
  <c r="E81" i="8"/>
  <c r="E114" i="4"/>
  <c r="E70" i="8"/>
  <c r="M70" i="8"/>
  <c r="F82" i="8"/>
  <c r="H124" i="4"/>
  <c r="B70" i="8"/>
  <c r="E68" i="8"/>
  <c r="I68" i="8"/>
  <c r="I72" i="8" s="1"/>
  <c r="M68" i="8"/>
  <c r="M72" i="8" s="1"/>
  <c r="F69" i="8"/>
  <c r="J69" i="8"/>
  <c r="J75" i="8" s="1"/>
  <c r="C70" i="8"/>
  <c r="G70" i="8"/>
  <c r="K70" i="8"/>
  <c r="B81" i="8"/>
  <c r="F80" i="8"/>
  <c r="J80" i="8"/>
  <c r="C81" i="8"/>
  <c r="G81" i="8"/>
  <c r="K81" i="8"/>
  <c r="D82" i="8"/>
  <c r="H82" i="8"/>
  <c r="L82" i="8"/>
  <c r="F124" i="4"/>
  <c r="J125" i="4"/>
  <c r="B71" i="8"/>
  <c r="F68" i="8"/>
  <c r="J68" i="8"/>
  <c r="J72" i="8" s="1"/>
  <c r="C69" i="8"/>
  <c r="G69" i="8"/>
  <c r="G75" i="8" s="1"/>
  <c r="K69" i="8"/>
  <c r="K75" i="8" s="1"/>
  <c r="D70" i="8"/>
  <c r="E71" i="8"/>
  <c r="I71" i="8"/>
  <c r="M71" i="8"/>
  <c r="B82" i="8"/>
  <c r="F79" i="8"/>
  <c r="J79" i="8"/>
  <c r="J83" i="8" s="1"/>
  <c r="C80" i="8"/>
  <c r="G80" i="8"/>
  <c r="K80" i="8"/>
  <c r="D81" i="8"/>
  <c r="H81" i="8"/>
  <c r="L81" i="8"/>
  <c r="E82" i="8"/>
  <c r="I82" i="8"/>
  <c r="M82" i="8"/>
  <c r="F180" i="4"/>
  <c r="G180" i="4" s="1"/>
  <c r="E88" i="8" s="1"/>
  <c r="I70" i="8"/>
  <c r="B79" i="8"/>
  <c r="J82" i="8"/>
  <c r="D124" i="4"/>
  <c r="B69" i="8"/>
  <c r="E69" i="8"/>
  <c r="I69" i="8"/>
  <c r="I75" i="8" s="1"/>
  <c r="M69" i="8"/>
  <c r="M75" i="8" s="1"/>
  <c r="F70" i="8"/>
  <c r="J70" i="8"/>
  <c r="C71" i="8"/>
  <c r="G71" i="8"/>
  <c r="K71" i="8"/>
  <c r="B80" i="8"/>
  <c r="D79" i="8"/>
  <c r="L79" i="8"/>
  <c r="L83" i="8" s="1"/>
  <c r="F81" i="8"/>
  <c r="J81" i="8"/>
  <c r="C82" i="8"/>
  <c r="G82" i="8"/>
  <c r="K82" i="8"/>
  <c r="D98" i="8"/>
  <c r="D102" i="8"/>
  <c r="D99" i="8"/>
  <c r="E91" i="8"/>
  <c r="C91" i="8"/>
  <c r="D100" i="8"/>
  <c r="D97" i="8"/>
  <c r="D101" i="8"/>
  <c r="H180" i="4"/>
  <c r="I180" i="4" s="1"/>
  <c r="J182" i="4" s="1"/>
  <c r="H88" i="8" s="1"/>
  <c r="E97" i="8" s="1"/>
  <c r="I47" i="8"/>
  <c r="G47" i="8"/>
  <c r="M47" i="8"/>
  <c r="L47" i="8"/>
  <c r="K47" i="8"/>
  <c r="J47" i="8"/>
  <c r="F47" i="8"/>
  <c r="E47" i="8"/>
  <c r="D47" i="8"/>
  <c r="C47" i="8"/>
  <c r="B47" i="8"/>
  <c r="Q159" i="4"/>
  <c r="Q158" i="4"/>
  <c r="Q157" i="4"/>
  <c r="Q156" i="4"/>
  <c r="Q155" i="4"/>
  <c r="Q154" i="4"/>
  <c r="Q153" i="4"/>
  <c r="Q152" i="4"/>
  <c r="O104" i="4"/>
  <c r="N104" i="4"/>
  <c r="M104" i="4"/>
  <c r="L104" i="4"/>
  <c r="K104" i="4"/>
  <c r="J104" i="4"/>
  <c r="I104" i="4"/>
  <c r="O102" i="4"/>
  <c r="N102" i="4"/>
  <c r="M102" i="4"/>
  <c r="L102" i="4"/>
  <c r="K102" i="4"/>
  <c r="J102" i="4"/>
  <c r="I102" i="4"/>
  <c r="B47" i="9"/>
  <c r="B37" i="9"/>
  <c r="B36" i="9"/>
  <c r="B35" i="9"/>
  <c r="B34" i="9"/>
  <c r="B33" i="9"/>
  <c r="B32" i="9"/>
  <c r="B31" i="9"/>
  <c r="B30" i="9"/>
  <c r="B29" i="9"/>
  <c r="B28" i="9"/>
  <c r="A170" i="4"/>
  <c r="A160" i="4"/>
  <c r="A159" i="4"/>
  <c r="A158" i="4"/>
  <c r="A157" i="4"/>
  <c r="A156" i="4"/>
  <c r="A155" i="4"/>
  <c r="A154" i="4"/>
  <c r="A153" i="4"/>
  <c r="A152" i="4"/>
  <c r="A151" i="4"/>
  <c r="A150" i="4"/>
  <c r="Q37" i="4"/>
  <c r="Q36" i="4"/>
  <c r="Q35" i="4"/>
  <c r="Q34" i="4"/>
  <c r="Q33" i="4"/>
  <c r="Q32" i="4"/>
  <c r="Q31" i="4"/>
  <c r="D93" i="8" l="1"/>
  <c r="D95" i="8"/>
  <c r="D94" i="8"/>
  <c r="F137" i="8"/>
  <c r="H186" i="4"/>
  <c r="F139" i="8" s="1"/>
  <c r="G186" i="4"/>
  <c r="E139" i="8" s="1"/>
  <c r="E137" i="8"/>
  <c r="D137" i="8"/>
  <c r="F186" i="4"/>
  <c r="D139" i="8" s="1"/>
  <c r="E186" i="4"/>
  <c r="C139" i="8" s="1"/>
  <c r="C137" i="8"/>
  <c r="D186" i="4"/>
  <c r="B139" i="8" s="1"/>
  <c r="B137" i="8"/>
  <c r="D88" i="8"/>
  <c r="B72" i="8"/>
  <c r="E75" i="8"/>
  <c r="D83" i="8"/>
  <c r="D92" i="8"/>
  <c r="F75" i="8"/>
  <c r="F83" i="8"/>
  <c r="B83" i="8"/>
  <c r="D72" i="8"/>
  <c r="E83" i="8"/>
  <c r="D75" i="8"/>
  <c r="C72" i="8"/>
  <c r="C75" i="8"/>
  <c r="C83" i="8"/>
  <c r="F72" i="8"/>
  <c r="E72" i="8"/>
  <c r="B75" i="8"/>
  <c r="J180" i="4"/>
  <c r="K182" i="4" s="1"/>
  <c r="I88" i="8" s="1"/>
  <c r="E98" i="8" s="1"/>
  <c r="I182" i="4"/>
  <c r="G88" i="8" s="1"/>
  <c r="E96" i="8" s="1"/>
  <c r="F88" i="8"/>
  <c r="M29" i="8"/>
  <c r="L29" i="8"/>
  <c r="K29" i="8"/>
  <c r="J29" i="8"/>
  <c r="I29" i="8"/>
  <c r="H29" i="8"/>
  <c r="G29" i="8"/>
  <c r="F29" i="8"/>
  <c r="E29" i="8"/>
  <c r="D29" i="8"/>
  <c r="C29" i="8"/>
  <c r="M28" i="8"/>
  <c r="L28" i="8"/>
  <c r="K28" i="8"/>
  <c r="J28" i="8"/>
  <c r="I28" i="8"/>
  <c r="H28" i="8"/>
  <c r="G28" i="8"/>
  <c r="F28" i="8"/>
  <c r="E28" i="8"/>
  <c r="D28" i="8"/>
  <c r="C28" i="8"/>
  <c r="B29" i="8"/>
  <c r="B28" i="8"/>
  <c r="B93" i="1"/>
  <c r="B94" i="1" s="1"/>
  <c r="B95" i="1" s="1"/>
  <c r="B96" i="1" s="1"/>
  <c r="B97" i="1" s="1"/>
  <c r="B98" i="1" s="1"/>
  <c r="F5" i="9"/>
  <c r="K180" i="4" l="1"/>
  <c r="Q144" i="4"/>
  <c r="Q135" i="4"/>
  <c r="Q134" i="4"/>
  <c r="Q133" i="4"/>
  <c r="Q132" i="4"/>
  <c r="Q131" i="4"/>
  <c r="Q130" i="4"/>
  <c r="O145" i="4"/>
  <c r="N145" i="4"/>
  <c r="M145" i="4"/>
  <c r="L145" i="4"/>
  <c r="K145" i="4"/>
  <c r="J145" i="4"/>
  <c r="I145" i="4"/>
  <c r="H145" i="4"/>
  <c r="G145" i="4"/>
  <c r="F145" i="4"/>
  <c r="E145" i="4"/>
  <c r="D145" i="4"/>
  <c r="A144" i="4"/>
  <c r="A135" i="4"/>
  <c r="A134" i="4"/>
  <c r="A133" i="4"/>
  <c r="A132" i="4"/>
  <c r="A131" i="4"/>
  <c r="A130" i="4"/>
  <c r="Q21" i="4"/>
  <c r="Q13" i="4"/>
  <c r="Q12" i="4"/>
  <c r="Q11" i="4"/>
  <c r="Q10" i="4"/>
  <c r="Q9" i="4"/>
  <c r="B13" i="9"/>
  <c r="B12" i="9"/>
  <c r="B11" i="9"/>
  <c r="B10" i="9"/>
  <c r="B9" i="9"/>
  <c r="B8" i="9"/>
  <c r="B57" i="8" l="1"/>
  <c r="L180" i="4"/>
  <c r="L182" i="4"/>
  <c r="J88" i="8" s="1"/>
  <c r="E99" i="8" s="1"/>
  <c r="C24" i="8"/>
  <c r="G24" i="8"/>
  <c r="D24" i="8"/>
  <c r="E24" i="8"/>
  <c r="I24" i="8"/>
  <c r="M24" i="8"/>
  <c r="K24" i="8"/>
  <c r="H24" i="8"/>
  <c r="F24" i="8"/>
  <c r="J24" i="8"/>
  <c r="L24" i="8"/>
  <c r="B24" i="8"/>
  <c r="Q145" i="4"/>
  <c r="D4" i="10"/>
  <c r="B1" i="10"/>
  <c r="D6" i="10" l="1"/>
  <c r="D60" i="10"/>
  <c r="M180" i="4"/>
  <c r="M182" i="4"/>
  <c r="K88" i="8" s="1"/>
  <c r="E100" i="8" s="1"/>
  <c r="D22" i="10"/>
  <c r="N182" i="4" l="1"/>
  <c r="L88" i="8" s="1"/>
  <c r="E101" i="8" s="1"/>
  <c r="N180" i="4"/>
  <c r="B99" i="1"/>
  <c r="B100" i="1" s="1"/>
  <c r="B101" i="1" s="1"/>
  <c r="B102" i="1" s="1"/>
  <c r="B103" i="1" s="1"/>
  <c r="B104" i="1" s="1"/>
  <c r="B1" i="1"/>
  <c r="B1" i="9"/>
  <c r="B302" i="9"/>
  <c r="B303" i="9" s="1"/>
  <c r="B304" i="9" s="1"/>
  <c r="B305" i="9" s="1"/>
  <c r="B306" i="9" s="1"/>
  <c r="B307" i="9" s="1"/>
  <c r="B308" i="9" s="1"/>
  <c r="B309" i="9" s="1"/>
  <c r="B310" i="9" s="1"/>
  <c r="B311" i="9" s="1"/>
  <c r="B312" i="9" s="1"/>
  <c r="B313" i="9" s="1"/>
  <c r="G164" i="9"/>
  <c r="B164" i="9"/>
  <c r="B154" i="9"/>
  <c r="F149" i="9"/>
  <c r="B27" i="9"/>
  <c r="N5" i="9"/>
  <c r="M5" i="9"/>
  <c r="H5" i="9"/>
  <c r="G5" i="9"/>
  <c r="B3" i="9"/>
  <c r="A1" i="4" s="1"/>
  <c r="O22" i="4"/>
  <c r="N22" i="4"/>
  <c r="M22" i="4"/>
  <c r="L22" i="4"/>
  <c r="K22" i="4"/>
  <c r="J22" i="4"/>
  <c r="I22" i="4"/>
  <c r="H22" i="4"/>
  <c r="G22" i="4"/>
  <c r="F22" i="4"/>
  <c r="E22" i="4"/>
  <c r="D22" i="4"/>
  <c r="O95" i="4"/>
  <c r="N95" i="4"/>
  <c r="M95" i="4"/>
  <c r="L95" i="4"/>
  <c r="K95" i="4"/>
  <c r="J95" i="4"/>
  <c r="I95" i="4"/>
  <c r="H95" i="4"/>
  <c r="G95" i="4"/>
  <c r="F95" i="4"/>
  <c r="O87" i="4"/>
  <c r="N87" i="4"/>
  <c r="M87" i="4"/>
  <c r="L87" i="4"/>
  <c r="K87" i="4"/>
  <c r="J87" i="4"/>
  <c r="I87" i="4"/>
  <c r="H87" i="4"/>
  <c r="G87" i="4"/>
  <c r="F87" i="4"/>
  <c r="O75" i="4"/>
  <c r="N75" i="4"/>
  <c r="M75" i="4"/>
  <c r="L75" i="4"/>
  <c r="K75" i="4"/>
  <c r="J75" i="4"/>
  <c r="I75" i="4"/>
  <c r="H75" i="4"/>
  <c r="G75" i="4"/>
  <c r="F75" i="4"/>
  <c r="O64" i="4"/>
  <c r="N64" i="4"/>
  <c r="M64" i="4"/>
  <c r="L64" i="4"/>
  <c r="K64" i="4"/>
  <c r="J64" i="4"/>
  <c r="I64" i="4"/>
  <c r="H64" i="4"/>
  <c r="H103" i="4" s="1"/>
  <c r="G64" i="4"/>
  <c r="F64" i="4"/>
  <c r="O182" i="4" l="1"/>
  <c r="M88" i="8" s="1"/>
  <c r="E102" i="8" s="1"/>
  <c r="O180" i="4"/>
  <c r="I101" i="4"/>
  <c r="G10" i="8" s="1"/>
  <c r="G17" i="8"/>
  <c r="G23" i="8" s="1"/>
  <c r="F101" i="4"/>
  <c r="D10" i="8" s="1"/>
  <c r="D17" i="8"/>
  <c r="D23" i="8" s="1"/>
  <c r="J101" i="4"/>
  <c r="H10" i="8" s="1"/>
  <c r="H17" i="8"/>
  <c r="H23" i="8" s="1"/>
  <c r="N101" i="4"/>
  <c r="L10" i="8" s="1"/>
  <c r="L17" i="8"/>
  <c r="L23" i="8" s="1"/>
  <c r="D101" i="4"/>
  <c r="B10" i="8" s="1"/>
  <c r="B17" i="8"/>
  <c r="B23" i="8" s="1"/>
  <c r="H101" i="4"/>
  <c r="F10" i="8" s="1"/>
  <c r="F17" i="8"/>
  <c r="F23" i="8" s="1"/>
  <c r="L101" i="4"/>
  <c r="J10" i="8" s="1"/>
  <c r="J17" i="8"/>
  <c r="J23" i="8" s="1"/>
  <c r="E101" i="4"/>
  <c r="C10" i="8" s="1"/>
  <c r="C17" i="8"/>
  <c r="C23" i="8" s="1"/>
  <c r="M101" i="4"/>
  <c r="K10" i="8" s="1"/>
  <c r="K17" i="8"/>
  <c r="K23" i="8" s="1"/>
  <c r="G101" i="4"/>
  <c r="E10" i="8" s="1"/>
  <c r="E17" i="8"/>
  <c r="E23" i="8" s="1"/>
  <c r="K101" i="4"/>
  <c r="I10" i="8" s="1"/>
  <c r="I17" i="8"/>
  <c r="I23" i="8" s="1"/>
  <c r="O101" i="4"/>
  <c r="M10" i="8" s="1"/>
  <c r="M17" i="8"/>
  <c r="M23" i="8" s="1"/>
  <c r="M77" i="4"/>
  <c r="I77" i="4"/>
  <c r="H77" i="4"/>
  <c r="H12" i="8"/>
  <c r="L12" i="8"/>
  <c r="G103" i="4"/>
  <c r="E7" i="8" s="1"/>
  <c r="K103" i="4"/>
  <c r="I7" i="8" s="1"/>
  <c r="I12" i="8"/>
  <c r="M12" i="8"/>
  <c r="O103" i="4"/>
  <c r="M7" i="8" s="1"/>
  <c r="J12" i="8"/>
  <c r="G12" i="8"/>
  <c r="K12" i="8"/>
  <c r="G97" i="4"/>
  <c r="E143" i="8" s="1"/>
  <c r="L77" i="4"/>
  <c r="J103" i="4"/>
  <c r="H7" i="8" s="1"/>
  <c r="N103" i="4"/>
  <c r="L7" i="8" s="1"/>
  <c r="H97" i="4"/>
  <c r="F143" i="8" s="1"/>
  <c r="F103" i="4"/>
  <c r="D7" i="8" s="1"/>
  <c r="K97" i="4"/>
  <c r="O97" i="4"/>
  <c r="I5" i="9"/>
  <c r="L103" i="4"/>
  <c r="J7" i="8" s="1"/>
  <c r="F77" i="4"/>
  <c r="J77" i="4"/>
  <c r="N77" i="4"/>
  <c r="L97" i="4"/>
  <c r="G77" i="4"/>
  <c r="K77" i="4"/>
  <c r="O77" i="4"/>
  <c r="I97" i="4"/>
  <c r="M97" i="4"/>
  <c r="I103" i="4"/>
  <c r="G7" i="8" s="1"/>
  <c r="M103" i="4"/>
  <c r="K7" i="8" s="1"/>
  <c r="F97" i="4"/>
  <c r="J97" i="4"/>
  <c r="N97" i="4"/>
  <c r="E95" i="4"/>
  <c r="D95" i="4"/>
  <c r="E87" i="4"/>
  <c r="D87" i="4"/>
  <c r="E75" i="4"/>
  <c r="D75" i="4"/>
  <c r="E64" i="4"/>
  <c r="D64" i="4"/>
  <c r="D103" i="4" s="1"/>
  <c r="D52" i="4"/>
  <c r="E52" i="4" s="1"/>
  <c r="F52" i="4" s="1"/>
  <c r="G52" i="4" s="1"/>
  <c r="H52" i="4" s="1"/>
  <c r="I52" i="4" s="1"/>
  <c r="J52" i="4" s="1"/>
  <c r="K52" i="4" s="1"/>
  <c r="L52" i="4" s="1"/>
  <c r="M52" i="4" s="1"/>
  <c r="N52" i="4" s="1"/>
  <c r="O52" i="4" s="1"/>
  <c r="Q170" i="4"/>
  <c r="Q160" i="4"/>
  <c r="Q151" i="4"/>
  <c r="Q150" i="4"/>
  <c r="Q47" i="4"/>
  <c r="Q30" i="4"/>
  <c r="Q29" i="4"/>
  <c r="Q28" i="4"/>
  <c r="Q27" i="4"/>
  <c r="Q8" i="4"/>
  <c r="Q22" i="4" s="1"/>
  <c r="E142" i="8" l="1"/>
  <c r="E159" i="8"/>
  <c r="E161" i="8" s="1"/>
  <c r="E167" i="8" s="1"/>
  <c r="E170" i="8" s="1"/>
  <c r="F142" i="8"/>
  <c r="F159" i="8"/>
  <c r="F161" i="8" s="1"/>
  <c r="F167" i="8" s="1"/>
  <c r="F170" i="8" s="1"/>
  <c r="D142" i="8"/>
  <c r="D159" i="8"/>
  <c r="D161" i="8" s="1"/>
  <c r="D167" i="8" s="1"/>
  <c r="D170" i="8" s="1"/>
  <c r="F104" i="4"/>
  <c r="D143" i="8"/>
  <c r="B7" i="8"/>
  <c r="F5" i="8"/>
  <c r="H104" i="4"/>
  <c r="G104" i="4"/>
  <c r="E14" i="8" s="1"/>
  <c r="E5" i="8"/>
  <c r="F7" i="8"/>
  <c r="D14" i="8"/>
  <c r="D5" i="8"/>
  <c r="M14" i="8"/>
  <c r="M5" i="8"/>
  <c r="I14" i="8"/>
  <c r="I5" i="8"/>
  <c r="H14" i="8"/>
  <c r="H5" i="8"/>
  <c r="K14" i="8"/>
  <c r="K5" i="8"/>
  <c r="G14" i="8"/>
  <c r="G5" i="8"/>
  <c r="L14" i="8"/>
  <c r="L5" i="8"/>
  <c r="J14" i="8"/>
  <c r="J5" i="8"/>
  <c r="E97" i="4"/>
  <c r="E103" i="4"/>
  <c r="C7" i="8" s="1"/>
  <c r="Q171" i="4"/>
  <c r="Q173" i="4" s="1"/>
  <c r="D77" i="4"/>
  <c r="E77" i="4"/>
  <c r="D97" i="4"/>
  <c r="Q48" i="4"/>
  <c r="Q50" i="4" s="1"/>
  <c r="C142" i="8" l="1"/>
  <c r="C159" i="8"/>
  <c r="C161" i="8" s="1"/>
  <c r="C167" i="8" s="1"/>
  <c r="C170" i="8" s="1"/>
  <c r="B159" i="8"/>
  <c r="B161" i="8" s="1"/>
  <c r="B167" i="8" s="1"/>
  <c r="B170" i="8" s="1"/>
  <c r="B142" i="8"/>
  <c r="D104" i="4"/>
  <c r="B14" i="8" s="1"/>
  <c r="B143" i="8"/>
  <c r="E104" i="4"/>
  <c r="C14" i="8" s="1"/>
  <c r="C143" i="8"/>
  <c r="B5" i="8"/>
  <c r="B53" i="8"/>
  <c r="F14" i="8"/>
  <c r="C5" i="8"/>
  <c r="O171" i="4" l="1"/>
  <c r="N171" i="4"/>
  <c r="M171" i="4"/>
  <c r="L171" i="4"/>
  <c r="K171" i="4"/>
  <c r="J171" i="4"/>
  <c r="I171" i="4"/>
  <c r="H171" i="4"/>
  <c r="G171" i="4"/>
  <c r="F171" i="4"/>
  <c r="E171" i="4"/>
  <c r="D171" i="4"/>
  <c r="D4" i="4"/>
  <c r="D23" i="1"/>
  <c r="E23" i="1" s="1"/>
  <c r="F23" i="1" s="1"/>
  <c r="G23" i="1" s="1"/>
  <c r="H23" i="1" s="1"/>
  <c r="I23" i="1" s="1"/>
  <c r="J23" i="1" s="1"/>
  <c r="K23" i="1" s="1"/>
  <c r="L23" i="1" s="1"/>
  <c r="M23" i="1" s="1"/>
  <c r="N23" i="1" s="1"/>
  <c r="O23" i="1" s="1"/>
  <c r="D15" i="1"/>
  <c r="E15" i="1" s="1"/>
  <c r="F15" i="1" s="1"/>
  <c r="G15" i="1" s="1"/>
  <c r="H15" i="1" s="1"/>
  <c r="I15" i="1" s="1"/>
  <c r="J15" i="1" s="1"/>
  <c r="K15" i="1" s="1"/>
  <c r="L15" i="1" s="1"/>
  <c r="M15" i="1" s="1"/>
  <c r="N15" i="1" s="1"/>
  <c r="O15" i="1" s="1"/>
  <c r="D7" i="1"/>
  <c r="E7" i="1" s="1"/>
  <c r="F7" i="1" s="1"/>
  <c r="G7" i="1" s="1"/>
  <c r="H7" i="1" s="1"/>
  <c r="I7" i="1" s="1"/>
  <c r="J7" i="1" s="1"/>
  <c r="K7" i="1" s="1"/>
  <c r="L7" i="1" s="1"/>
  <c r="M7" i="1" s="1"/>
  <c r="N7" i="1" s="1"/>
  <c r="O7" i="1" s="1"/>
  <c r="D52" i="1"/>
  <c r="E52" i="1" s="1"/>
  <c r="F52" i="1" s="1"/>
  <c r="G52" i="1" s="1"/>
  <c r="H52" i="1" s="1"/>
  <c r="I52" i="1" s="1"/>
  <c r="J52" i="1" s="1"/>
  <c r="K52" i="1" s="1"/>
  <c r="L52" i="1" s="1"/>
  <c r="M52" i="1" s="1"/>
  <c r="N52" i="1" s="1"/>
  <c r="O52" i="1" s="1"/>
  <c r="D42" i="1"/>
  <c r="E42" i="1" s="1"/>
  <c r="F42" i="1" s="1"/>
  <c r="G42" i="1" s="1"/>
  <c r="H42" i="1" s="1"/>
  <c r="I42" i="1" s="1"/>
  <c r="J42" i="1" s="1"/>
  <c r="K42" i="1" s="1"/>
  <c r="L42" i="1" s="1"/>
  <c r="M42" i="1" s="1"/>
  <c r="N42" i="1" s="1"/>
  <c r="O42" i="1" s="1"/>
  <c r="D32" i="1"/>
  <c r="E32" i="1" s="1"/>
  <c r="F32" i="1" s="1"/>
  <c r="G32" i="1" s="1"/>
  <c r="H32" i="1" s="1"/>
  <c r="I32" i="1" s="1"/>
  <c r="J32" i="1" s="1"/>
  <c r="K32" i="1" s="1"/>
  <c r="L32" i="1" s="1"/>
  <c r="M32" i="1" s="1"/>
  <c r="N32" i="1" s="1"/>
  <c r="O32" i="1" s="1"/>
  <c r="D269" i="4" l="1"/>
  <c r="E105" i="4"/>
  <c r="D203" i="4"/>
  <c r="D189" i="4"/>
  <c r="D176" i="4"/>
  <c r="D236" i="4"/>
  <c r="C44" i="8"/>
  <c r="E173" i="4"/>
  <c r="E191" i="4" s="1"/>
  <c r="C106" i="8" s="1"/>
  <c r="C112" i="8" s="1"/>
  <c r="G44" i="8"/>
  <c r="I173" i="4"/>
  <c r="I191" i="4" s="1"/>
  <c r="G106" i="8" s="1"/>
  <c r="C116" i="8" s="1"/>
  <c r="K44" i="8"/>
  <c r="M173" i="4"/>
  <c r="M191" i="4" s="1"/>
  <c r="K106" i="8" s="1"/>
  <c r="C120" i="8" s="1"/>
  <c r="D44" i="8"/>
  <c r="F173" i="4"/>
  <c r="F191" i="4" s="1"/>
  <c r="D106" i="8" s="1"/>
  <c r="C113" i="8" s="1"/>
  <c r="H44" i="8"/>
  <c r="J173" i="4"/>
  <c r="J191" i="4" s="1"/>
  <c r="H106" i="8" s="1"/>
  <c r="C117" i="8" s="1"/>
  <c r="L44" i="8"/>
  <c r="N173" i="4"/>
  <c r="N191" i="4" s="1"/>
  <c r="L106" i="8" s="1"/>
  <c r="C121" i="8" s="1"/>
  <c r="E44" i="8"/>
  <c r="G173" i="4"/>
  <c r="G191" i="4" s="1"/>
  <c r="E106" i="8" s="1"/>
  <c r="C114" i="8" s="1"/>
  <c r="I44" i="8"/>
  <c r="K173" i="4"/>
  <c r="K191" i="4" s="1"/>
  <c r="I106" i="8" s="1"/>
  <c r="C118" i="8" s="1"/>
  <c r="M44" i="8"/>
  <c r="O173" i="4"/>
  <c r="O191" i="4" s="1"/>
  <c r="M106" i="8" s="1"/>
  <c r="C122" i="8" s="1"/>
  <c r="B44" i="8"/>
  <c r="D173" i="4"/>
  <c r="D191" i="4" s="1"/>
  <c r="F44" i="8"/>
  <c r="H173" i="4"/>
  <c r="H191" i="4" s="1"/>
  <c r="F106" i="8" s="1"/>
  <c r="C115" i="8" s="1"/>
  <c r="J44" i="8"/>
  <c r="L173" i="4"/>
  <c r="L191" i="4" s="1"/>
  <c r="J106" i="8" s="1"/>
  <c r="C119" i="8" s="1"/>
  <c r="D3" i="4"/>
  <c r="B4" i="8"/>
  <c r="D127" i="4"/>
  <c r="E4" i="4"/>
  <c r="D48" i="4"/>
  <c r="D102" i="4" s="1"/>
  <c r="B12" i="8" s="1"/>
  <c r="E48" i="4"/>
  <c r="E102" i="4" s="1"/>
  <c r="C12" i="8" s="1"/>
  <c r="F48" i="4"/>
  <c r="F102" i="4" s="1"/>
  <c r="D12" i="8" s="1"/>
  <c r="G48" i="4"/>
  <c r="G102" i="4" s="1"/>
  <c r="E12" i="8" s="1"/>
  <c r="H48" i="4"/>
  <c r="H102" i="4" s="1"/>
  <c r="F12" i="8" s="1"/>
  <c r="I48" i="4"/>
  <c r="J48" i="4"/>
  <c r="K48" i="4"/>
  <c r="L48" i="4"/>
  <c r="M48" i="4"/>
  <c r="N48" i="4"/>
  <c r="O48" i="4"/>
  <c r="B158" i="8" l="1"/>
  <c r="B169" i="8" s="1"/>
  <c r="E269" i="4"/>
  <c r="F105" i="4"/>
  <c r="B16" i="8"/>
  <c r="B67" i="8" s="1"/>
  <c r="B136" i="8"/>
  <c r="B141" i="8" s="1"/>
  <c r="E3" i="4"/>
  <c r="E203" i="4"/>
  <c r="E189" i="4"/>
  <c r="E176" i="4"/>
  <c r="E236" i="4"/>
  <c r="B106" i="8"/>
  <c r="Q191" i="4"/>
  <c r="O106" i="8" s="1"/>
  <c r="E127" i="4"/>
  <c r="F127" i="4" s="1"/>
  <c r="G127" i="4" s="1"/>
  <c r="J43" i="8"/>
  <c r="L50" i="4"/>
  <c r="F43" i="8"/>
  <c r="H50" i="4"/>
  <c r="B43" i="8"/>
  <c r="D50" i="4"/>
  <c r="M43" i="8"/>
  <c r="O50" i="4"/>
  <c r="I43" i="8"/>
  <c r="K50" i="4"/>
  <c r="E43" i="8"/>
  <c r="G50" i="4"/>
  <c r="L43" i="8"/>
  <c r="N50" i="4"/>
  <c r="H43" i="8"/>
  <c r="J50" i="4"/>
  <c r="D43" i="8"/>
  <c r="F50" i="4"/>
  <c r="K43" i="8"/>
  <c r="M50" i="4"/>
  <c r="G43" i="8"/>
  <c r="I50" i="4"/>
  <c r="C43" i="8"/>
  <c r="E50" i="4"/>
  <c r="C4" i="8"/>
  <c r="C158" i="8" s="1"/>
  <c r="F4" i="4"/>
  <c r="B22" i="8"/>
  <c r="B27" i="8" s="1"/>
  <c r="B6" i="8"/>
  <c r="B9" i="8" s="1"/>
  <c r="B11" i="8" s="1"/>
  <c r="B13" i="8" s="1"/>
  <c r="C39" i="8"/>
  <c r="E39" i="8"/>
  <c r="G39" i="8"/>
  <c r="I39" i="8"/>
  <c r="K39" i="8"/>
  <c r="M39" i="8"/>
  <c r="B39" i="8"/>
  <c r="D39" i="8"/>
  <c r="F39" i="8"/>
  <c r="H39" i="8"/>
  <c r="J39" i="8"/>
  <c r="L39" i="8"/>
  <c r="Q24" i="1"/>
  <c r="F269" i="4" l="1"/>
  <c r="G105" i="4"/>
  <c r="C136" i="8"/>
  <c r="C141" i="8" s="1"/>
  <c r="C169" i="8"/>
  <c r="F203" i="4"/>
  <c r="F236" i="4"/>
  <c r="F189" i="4"/>
  <c r="F176" i="4"/>
  <c r="B20" i="8"/>
  <c r="D192" i="4"/>
  <c r="G20" i="8"/>
  <c r="I192" i="4"/>
  <c r="G107" i="8" s="1"/>
  <c r="D20" i="8"/>
  <c r="F192" i="4"/>
  <c r="D107" i="8" s="1"/>
  <c r="L20" i="8"/>
  <c r="N192" i="4"/>
  <c r="L107" i="8" s="1"/>
  <c r="I20" i="8"/>
  <c r="K192" i="4"/>
  <c r="I107" i="8" s="1"/>
  <c r="J20" i="8"/>
  <c r="L192" i="4"/>
  <c r="J107" i="8" s="1"/>
  <c r="C111" i="8"/>
  <c r="E111" i="8"/>
  <c r="C20" i="8"/>
  <c r="E192" i="4"/>
  <c r="C107" i="8" s="1"/>
  <c r="K20" i="8"/>
  <c r="M192" i="4"/>
  <c r="K107" i="8" s="1"/>
  <c r="H20" i="8"/>
  <c r="J192" i="4"/>
  <c r="H107" i="8" s="1"/>
  <c r="E20" i="8"/>
  <c r="G192" i="4"/>
  <c r="E107" i="8" s="1"/>
  <c r="M20" i="8"/>
  <c r="O192" i="4"/>
  <c r="M107" i="8" s="1"/>
  <c r="F20" i="8"/>
  <c r="H192" i="4"/>
  <c r="F107" i="8" s="1"/>
  <c r="C16" i="8"/>
  <c r="F3" i="4"/>
  <c r="C6" i="8"/>
  <c r="C9" i="8" s="1"/>
  <c r="C11" i="8" s="1"/>
  <c r="C13" i="8" s="1"/>
  <c r="B37" i="8"/>
  <c r="B42" i="8" s="1"/>
  <c r="B46" i="8" s="1"/>
  <c r="B32" i="8"/>
  <c r="H127" i="4"/>
  <c r="D4" i="8"/>
  <c r="D158" i="8" s="1"/>
  <c r="H38" i="8"/>
  <c r="I38" i="8"/>
  <c r="K38" i="8"/>
  <c r="J38" i="8"/>
  <c r="M38" i="8"/>
  <c r="L38" i="8"/>
  <c r="G38" i="8"/>
  <c r="B38" i="8"/>
  <c r="F38" i="8"/>
  <c r="E38" i="8"/>
  <c r="D38" i="8"/>
  <c r="C38" i="8"/>
  <c r="G4" i="4"/>
  <c r="C22" i="8" l="1"/>
  <c r="C27" i="8" s="1"/>
  <c r="C37" i="8" s="1"/>
  <c r="C42" i="8" s="1"/>
  <c r="C46" i="8" s="1"/>
  <c r="C67" i="8"/>
  <c r="G269" i="4"/>
  <c r="H105" i="4"/>
  <c r="D136" i="8"/>
  <c r="D141" i="8" s="1"/>
  <c r="D169" i="8"/>
  <c r="G236" i="4"/>
  <c r="G203" i="4"/>
  <c r="G189" i="4"/>
  <c r="G176" i="4"/>
  <c r="D122" i="8"/>
  <c r="E122" i="8"/>
  <c r="E117" i="8"/>
  <c r="D117" i="8"/>
  <c r="E112" i="8"/>
  <c r="D112" i="8"/>
  <c r="D119" i="8"/>
  <c r="E119" i="8"/>
  <c r="D121" i="8"/>
  <c r="E121" i="8"/>
  <c r="E116" i="8"/>
  <c r="D116" i="8"/>
  <c r="E115" i="8"/>
  <c r="D115" i="8"/>
  <c r="E114" i="8"/>
  <c r="D114" i="8"/>
  <c r="E120" i="8"/>
  <c r="D120" i="8"/>
  <c r="D118" i="8"/>
  <c r="E118" i="8"/>
  <c r="E113" i="8"/>
  <c r="D113" i="8"/>
  <c r="B107" i="8"/>
  <c r="D111" i="8" s="1"/>
  <c r="Q192" i="4"/>
  <c r="O107" i="8" s="1"/>
  <c r="B78" i="8"/>
  <c r="B74" i="8"/>
  <c r="C32" i="8"/>
  <c r="D16" i="8"/>
  <c r="G3" i="4"/>
  <c r="I127" i="4"/>
  <c r="D6" i="8"/>
  <c r="D9" i="8" s="1"/>
  <c r="D11" i="8" s="1"/>
  <c r="D13" i="8" s="1"/>
  <c r="E4" i="8"/>
  <c r="H4" i="4"/>
  <c r="E158" i="8" l="1"/>
  <c r="E169" i="8" s="1"/>
  <c r="D22" i="8"/>
  <c r="D27" i="8" s="1"/>
  <c r="D32" i="8" s="1"/>
  <c r="D67" i="8"/>
  <c r="H269" i="4"/>
  <c r="I105" i="4"/>
  <c r="E16" i="8"/>
  <c r="E136" i="8"/>
  <c r="E141" i="8" s="1"/>
  <c r="H203" i="4"/>
  <c r="H189" i="4"/>
  <c r="H176" i="4"/>
  <c r="H236" i="4"/>
  <c r="B85" i="8"/>
  <c r="B91" i="8" s="1"/>
  <c r="B105" i="8"/>
  <c r="C78" i="8"/>
  <c r="C74" i="8"/>
  <c r="J127" i="4"/>
  <c r="H3" i="4"/>
  <c r="F4" i="8"/>
  <c r="F158" i="8" s="1"/>
  <c r="E6" i="8"/>
  <c r="E9" i="8" s="1"/>
  <c r="E11" i="8" s="1"/>
  <c r="E13" i="8" s="1"/>
  <c r="I4" i="4"/>
  <c r="D37" i="8" l="1"/>
  <c r="D42" i="8" s="1"/>
  <c r="D46" i="8" s="1"/>
  <c r="E22" i="8"/>
  <c r="E27" i="8" s="1"/>
  <c r="E32" i="8" s="1"/>
  <c r="E67" i="8"/>
  <c r="I269" i="4"/>
  <c r="J105" i="4"/>
  <c r="F136" i="8"/>
  <c r="F141" i="8" s="1"/>
  <c r="F169" i="8"/>
  <c r="B111" i="8"/>
  <c r="B126" i="8"/>
  <c r="B131" i="8" s="1"/>
  <c r="I3" i="4"/>
  <c r="I203" i="4"/>
  <c r="I189" i="4"/>
  <c r="I176" i="4"/>
  <c r="I236" i="4"/>
  <c r="C85" i="8"/>
  <c r="B92" i="8" s="1"/>
  <c r="C105" i="8"/>
  <c r="D78" i="8"/>
  <c r="D74" i="8"/>
  <c r="K127" i="4"/>
  <c r="F6" i="8"/>
  <c r="F9" i="8" s="1"/>
  <c r="F11" i="8" s="1"/>
  <c r="F13" i="8" s="1"/>
  <c r="F16" i="8"/>
  <c r="E37" i="8"/>
  <c r="E42" i="8" s="1"/>
  <c r="E46" i="8" s="1"/>
  <c r="G4" i="8"/>
  <c r="G158" i="8" s="1"/>
  <c r="J4" i="4"/>
  <c r="F22" i="8" l="1"/>
  <c r="F27" i="8" s="1"/>
  <c r="F32" i="8" s="1"/>
  <c r="F67" i="8"/>
  <c r="J269" i="4"/>
  <c r="K105" i="4"/>
  <c r="G136" i="8"/>
  <c r="G141" i="8" s="1"/>
  <c r="G169" i="8"/>
  <c r="B112" i="8"/>
  <c r="C126" i="8"/>
  <c r="C131" i="8" s="1"/>
  <c r="J189" i="4"/>
  <c r="J236" i="4"/>
  <c r="J203" i="4"/>
  <c r="J176" i="4"/>
  <c r="D85" i="8"/>
  <c r="B93" i="8" s="1"/>
  <c r="D105" i="8"/>
  <c r="E78" i="8"/>
  <c r="E74" i="8"/>
  <c r="J3" i="4"/>
  <c r="L127" i="4"/>
  <c r="G6" i="8"/>
  <c r="G9" i="8" s="1"/>
  <c r="G11" i="8" s="1"/>
  <c r="G13" i="8" s="1"/>
  <c r="G16" i="8"/>
  <c r="H4" i="8"/>
  <c r="H158" i="8" s="1"/>
  <c r="K4" i="4"/>
  <c r="F37" i="8" l="1"/>
  <c r="F42" i="8" s="1"/>
  <c r="F46" i="8" s="1"/>
  <c r="G22" i="8"/>
  <c r="G27" i="8" s="1"/>
  <c r="G37" i="8" s="1"/>
  <c r="G42" i="8" s="1"/>
  <c r="G46" i="8" s="1"/>
  <c r="G67" i="8"/>
  <c r="K269" i="4"/>
  <c r="L105" i="4"/>
  <c r="H136" i="8"/>
  <c r="H141" i="8" s="1"/>
  <c r="H169" i="8"/>
  <c r="B113" i="8"/>
  <c r="D126" i="8"/>
  <c r="D131" i="8" s="1"/>
  <c r="K236" i="4"/>
  <c r="K203" i="4"/>
  <c r="K189" i="4"/>
  <c r="K176" i="4"/>
  <c r="E85" i="8"/>
  <c r="B94" i="8" s="1"/>
  <c r="E105" i="8"/>
  <c r="F78" i="8"/>
  <c r="F74" i="8"/>
  <c r="M127" i="4"/>
  <c r="K3" i="4"/>
  <c r="H16" i="8"/>
  <c r="G32" i="8"/>
  <c r="I4" i="8"/>
  <c r="I158" i="8" s="1"/>
  <c r="H6" i="8"/>
  <c r="H9" i="8" s="1"/>
  <c r="H11" i="8" s="1"/>
  <c r="H13" i="8" s="1"/>
  <c r="L4" i="4"/>
  <c r="H22" i="8" l="1"/>
  <c r="H27" i="8" s="1"/>
  <c r="H32" i="8" s="1"/>
  <c r="H67" i="8"/>
  <c r="L269" i="4"/>
  <c r="M105" i="4"/>
  <c r="I136" i="8"/>
  <c r="I141" i="8" s="1"/>
  <c r="I169" i="8"/>
  <c r="B114" i="8"/>
  <c r="E126" i="8"/>
  <c r="E131" i="8" s="1"/>
  <c r="L203" i="4"/>
  <c r="L189" i="4"/>
  <c r="L176" i="4"/>
  <c r="L236" i="4"/>
  <c r="F85" i="8"/>
  <c r="B95" i="8" s="1"/>
  <c r="F105" i="8"/>
  <c r="G78" i="8"/>
  <c r="G74" i="8"/>
  <c r="L3" i="4"/>
  <c r="N127" i="4"/>
  <c r="I6" i="8"/>
  <c r="I9" i="8" s="1"/>
  <c r="I11" i="8" s="1"/>
  <c r="I13" i="8" s="1"/>
  <c r="I16" i="8"/>
  <c r="J4" i="8"/>
  <c r="J158" i="8" s="1"/>
  <c r="M4" i="4"/>
  <c r="H37" i="8" l="1"/>
  <c r="H42" i="8" s="1"/>
  <c r="H46" i="8" s="1"/>
  <c r="I22" i="8"/>
  <c r="I27" i="8" s="1"/>
  <c r="I67" i="8"/>
  <c r="G34" i="9"/>
  <c r="M269" i="4"/>
  <c r="N105" i="4"/>
  <c r="G44" i="9"/>
  <c r="I44" i="9" s="1"/>
  <c r="J44" i="9" s="1"/>
  <c r="J136" i="8"/>
  <c r="J141" i="8" s="1"/>
  <c r="J169" i="8"/>
  <c r="B115" i="8"/>
  <c r="F126" i="8"/>
  <c r="F131" i="8" s="1"/>
  <c r="M203" i="4"/>
  <c r="M189" i="4"/>
  <c r="M176" i="4"/>
  <c r="M236" i="4"/>
  <c r="G85" i="8"/>
  <c r="B96" i="8" s="1"/>
  <c r="G105" i="8"/>
  <c r="H78" i="8"/>
  <c r="H74" i="8"/>
  <c r="O127" i="4"/>
  <c r="G39" i="9" s="1"/>
  <c r="I39" i="9" s="1"/>
  <c r="J39" i="9" s="1"/>
  <c r="J16" i="8"/>
  <c r="I37" i="8"/>
  <c r="I42" i="8" s="1"/>
  <c r="I46" i="8" s="1"/>
  <c r="I32" i="8"/>
  <c r="K4" i="8"/>
  <c r="K158" i="8" s="1"/>
  <c r="M3" i="4"/>
  <c r="J6" i="8"/>
  <c r="J9" i="8" s="1"/>
  <c r="J11" i="8" s="1"/>
  <c r="J13" i="8" s="1"/>
  <c r="N4" i="4"/>
  <c r="G32" i="9" l="1"/>
  <c r="G29" i="9"/>
  <c r="G40" i="9"/>
  <c r="I40" i="9" s="1"/>
  <c r="J40" i="9" s="1"/>
  <c r="J22" i="8"/>
  <c r="J27" i="8" s="1"/>
  <c r="J67" i="8"/>
  <c r="G33" i="9"/>
  <c r="N269" i="4"/>
  <c r="O105" i="4"/>
  <c r="F17" i="9"/>
  <c r="F20" i="9"/>
  <c r="F18" i="9"/>
  <c r="F41" i="9"/>
  <c r="G27" i="9"/>
  <c r="G18" i="9"/>
  <c r="I18" i="9" s="1"/>
  <c r="J18" i="9" s="1"/>
  <c r="G14" i="9"/>
  <c r="G16" i="9"/>
  <c r="I16" i="9" s="1"/>
  <c r="J16" i="9" s="1"/>
  <c r="G20" i="9"/>
  <c r="I20" i="9" s="1"/>
  <c r="J20" i="9" s="1"/>
  <c r="G17" i="9"/>
  <c r="I17" i="9" s="1"/>
  <c r="J17" i="9" s="1"/>
  <c r="G15" i="9"/>
  <c r="G21" i="9"/>
  <c r="I21" i="9" s="1"/>
  <c r="J21" i="9" s="1"/>
  <c r="G19" i="9"/>
  <c r="I19" i="9" s="1"/>
  <c r="J19" i="9" s="1"/>
  <c r="G43" i="9"/>
  <c r="I43" i="9" s="1"/>
  <c r="J43" i="9" s="1"/>
  <c r="G35" i="9"/>
  <c r="G47" i="9"/>
  <c r="I47" i="9" s="1"/>
  <c r="J47" i="9" s="1"/>
  <c r="G41" i="9"/>
  <c r="I41" i="9" s="1"/>
  <c r="J41" i="9" s="1"/>
  <c r="G36" i="9"/>
  <c r="G37" i="9"/>
  <c r="G45" i="9"/>
  <c r="I45" i="9" s="1"/>
  <c r="J45" i="9" s="1"/>
  <c r="G42" i="9"/>
  <c r="I42" i="9" s="1"/>
  <c r="J42" i="9" s="1"/>
  <c r="G38" i="9"/>
  <c r="G46" i="9"/>
  <c r="I46" i="9" s="1"/>
  <c r="J46" i="9" s="1"/>
  <c r="G30" i="9"/>
  <c r="F30" i="9"/>
  <c r="G31" i="9"/>
  <c r="K136" i="8"/>
  <c r="K141" i="8" s="1"/>
  <c r="K169" i="8"/>
  <c r="B116" i="8"/>
  <c r="G126" i="8"/>
  <c r="G131" i="8" s="1"/>
  <c r="N203" i="4"/>
  <c r="N176" i="4"/>
  <c r="N236" i="4"/>
  <c r="N189" i="4"/>
  <c r="H85" i="8"/>
  <c r="B97" i="8" s="1"/>
  <c r="H105" i="8"/>
  <c r="I78" i="8"/>
  <c r="I74" i="8"/>
  <c r="G11" i="9"/>
  <c r="G9" i="9"/>
  <c r="G28" i="9"/>
  <c r="G8" i="9"/>
  <c r="G12" i="9"/>
  <c r="G13" i="9"/>
  <c r="G10" i="9"/>
  <c r="J37" i="8"/>
  <c r="J42" i="8" s="1"/>
  <c r="J46" i="8" s="1"/>
  <c r="J32" i="8"/>
  <c r="K6" i="8"/>
  <c r="K9" i="8" s="1"/>
  <c r="K11" i="8" s="1"/>
  <c r="K13" i="8" s="1"/>
  <c r="K16" i="8"/>
  <c r="L4" i="8"/>
  <c r="L158" i="8" s="1"/>
  <c r="N3" i="4"/>
  <c r="O4" i="4"/>
  <c r="F15" i="9" s="1"/>
  <c r="F32" i="9" l="1"/>
  <c r="H32" i="9" s="1"/>
  <c r="I32" i="9" s="1"/>
  <c r="J32" i="9" s="1"/>
  <c r="F29" i="9"/>
  <c r="H29" i="9" s="1"/>
  <c r="I29" i="9" s="1"/>
  <c r="J29" i="9" s="1"/>
  <c r="F34" i="9"/>
  <c r="H34" i="9" s="1"/>
  <c r="I34" i="9" s="1"/>
  <c r="J34" i="9" s="1"/>
  <c r="K22" i="8"/>
  <c r="K27" i="8" s="1"/>
  <c r="K37" i="8" s="1"/>
  <c r="K42" i="8" s="1"/>
  <c r="K46" i="8" s="1"/>
  <c r="K67" i="8"/>
  <c r="K74" i="8" s="1"/>
  <c r="H30" i="9"/>
  <c r="I30" i="9" s="1"/>
  <c r="J30" i="9" s="1"/>
  <c r="H15" i="9"/>
  <c r="I15" i="9" s="1"/>
  <c r="J15" i="9" s="1"/>
  <c r="H18" i="9"/>
  <c r="H17" i="9"/>
  <c r="H41" i="9"/>
  <c r="H20" i="9"/>
  <c r="O269" i="4"/>
  <c r="P105" i="4"/>
  <c r="F21" i="9"/>
  <c r="H21" i="9" s="1"/>
  <c r="F44" i="9"/>
  <c r="H44" i="9" s="1"/>
  <c r="F45" i="9"/>
  <c r="H45" i="9" s="1"/>
  <c r="F35" i="9"/>
  <c r="H35" i="9" s="1"/>
  <c r="I35" i="9" s="1"/>
  <c r="J35" i="9" s="1"/>
  <c r="F47" i="9"/>
  <c r="H47" i="9" s="1"/>
  <c r="F33" i="9"/>
  <c r="H33" i="9" s="1"/>
  <c r="I33" i="9" s="1"/>
  <c r="J33" i="9" s="1"/>
  <c r="F14" i="9"/>
  <c r="H14" i="9" s="1"/>
  <c r="I14" i="9" s="1"/>
  <c r="J14" i="9" s="1"/>
  <c r="F16" i="9"/>
  <c r="H16" i="9" s="1"/>
  <c r="F42" i="9"/>
  <c r="H42" i="9" s="1"/>
  <c r="F39" i="9"/>
  <c r="H39" i="9" s="1"/>
  <c r="F19" i="9"/>
  <c r="H19" i="9" s="1"/>
  <c r="F37" i="9"/>
  <c r="H37" i="9" s="1"/>
  <c r="I37" i="9" s="1"/>
  <c r="J37" i="9" s="1"/>
  <c r="F36" i="9"/>
  <c r="H36" i="9" s="1"/>
  <c r="I36" i="9" s="1"/>
  <c r="J36" i="9" s="1"/>
  <c r="F46" i="9"/>
  <c r="H46" i="9" s="1"/>
  <c r="F43" i="9"/>
  <c r="H43" i="9" s="1"/>
  <c r="F38" i="9"/>
  <c r="H38" i="9" s="1"/>
  <c r="I38" i="9" s="1"/>
  <c r="J38" i="9" s="1"/>
  <c r="F40" i="9"/>
  <c r="H40" i="9" s="1"/>
  <c r="L136" i="8"/>
  <c r="L141" i="8" s="1"/>
  <c r="L169" i="8"/>
  <c r="B117" i="8"/>
  <c r="H126" i="8"/>
  <c r="H131" i="8" s="1"/>
  <c r="O236" i="4"/>
  <c r="O203" i="4"/>
  <c r="O189" i="4"/>
  <c r="O176" i="4"/>
  <c r="I85" i="8"/>
  <c r="B98" i="8" s="1"/>
  <c r="I105" i="8"/>
  <c r="E168" i="9"/>
  <c r="D33" i="10" s="1"/>
  <c r="F31" i="9"/>
  <c r="H31" i="9" s="1"/>
  <c r="I31" i="9" s="1"/>
  <c r="J31" i="9" s="1"/>
  <c r="E167" i="9"/>
  <c r="D32" i="10" s="1"/>
  <c r="F167" i="9"/>
  <c r="H167" i="9" s="1"/>
  <c r="F168" i="9"/>
  <c r="H168" i="9" s="1"/>
  <c r="F161" i="9"/>
  <c r="D24" i="10" s="1"/>
  <c r="J78" i="8"/>
  <c r="J74" i="8"/>
  <c r="K78" i="8"/>
  <c r="G49" i="9"/>
  <c r="F10" i="10" s="1"/>
  <c r="F13" i="9"/>
  <c r="H13" i="9" s="1"/>
  <c r="I13" i="9" s="1"/>
  <c r="G23" i="9"/>
  <c r="F9" i="10" s="1"/>
  <c r="F156" i="9"/>
  <c r="F152" i="9"/>
  <c r="F28" i="9"/>
  <c r="H28" i="9" s="1"/>
  <c r="F9" i="9"/>
  <c r="H9" i="9" s="1"/>
  <c r="I9" i="9" s="1"/>
  <c r="F164" i="9"/>
  <c r="F154" i="9"/>
  <c r="D26" i="10" s="1"/>
  <c r="F8" i="9"/>
  <c r="H8" i="9" s="1"/>
  <c r="I8" i="9" s="1"/>
  <c r="L16" i="8"/>
  <c r="L6" i="8"/>
  <c r="L9" i="8" s="1"/>
  <c r="L11" i="8" s="1"/>
  <c r="L13" i="8" s="1"/>
  <c r="K32" i="8"/>
  <c r="O3" i="4"/>
  <c r="F157" i="9"/>
  <c r="F12" i="9"/>
  <c r="H12" i="9" s="1"/>
  <c r="I12" i="9" s="1"/>
  <c r="F153" i="9"/>
  <c r="F27" i="9"/>
  <c r="F159" i="9"/>
  <c r="F11" i="9"/>
  <c r="H11" i="9" s="1"/>
  <c r="M4" i="8"/>
  <c r="M158" i="8" s="1"/>
  <c r="F10" i="9"/>
  <c r="L22" i="8" l="1"/>
  <c r="L27" i="8" s="1"/>
  <c r="L37" i="8" s="1"/>
  <c r="L42" i="8" s="1"/>
  <c r="L46" i="8" s="1"/>
  <c r="L67" i="8"/>
  <c r="E203" i="9"/>
  <c r="E220" i="9"/>
  <c r="E215" i="9"/>
  <c r="E221" i="9"/>
  <c r="E210" i="9"/>
  <c r="D153" i="8" s="1"/>
  <c r="E208" i="9"/>
  <c r="E222" i="9"/>
  <c r="F153" i="8" s="1"/>
  <c r="E204" i="9"/>
  <c r="C153" i="8" s="1"/>
  <c r="E209" i="9"/>
  <c r="E216" i="9"/>
  <c r="E153" i="8" s="1"/>
  <c r="E202" i="9"/>
  <c r="E214" i="9"/>
  <c r="E198" i="9"/>
  <c r="B153" i="8" s="1"/>
  <c r="E197" i="9"/>
  <c r="D204" i="9"/>
  <c r="D220" i="9"/>
  <c r="D222" i="9"/>
  <c r="F152" i="8" s="1"/>
  <c r="D215" i="9"/>
  <c r="D208" i="9"/>
  <c r="D210" i="9"/>
  <c r="D209" i="9"/>
  <c r="F209" i="9" s="1"/>
  <c r="D214" i="9"/>
  <c r="D216" i="9"/>
  <c r="D202" i="9"/>
  <c r="D221" i="9"/>
  <c r="D203" i="9"/>
  <c r="D198" i="9"/>
  <c r="D196" i="9"/>
  <c r="E196" i="9"/>
  <c r="M136" i="8"/>
  <c r="M141" i="8" s="1"/>
  <c r="M169" i="8"/>
  <c r="L21" i="9"/>
  <c r="N21" i="9" s="1"/>
  <c r="O21" i="9" s="1"/>
  <c r="L19" i="9"/>
  <c r="N19" i="9" s="1"/>
  <c r="O19" i="9" s="1"/>
  <c r="L15" i="9"/>
  <c r="L18" i="9"/>
  <c r="L16" i="9"/>
  <c r="N16" i="9" s="1"/>
  <c r="O16" i="9" s="1"/>
  <c r="L17" i="9"/>
  <c r="L14" i="9"/>
  <c r="L20" i="9"/>
  <c r="N20" i="9" s="1"/>
  <c r="O20" i="9" s="1"/>
  <c r="B118" i="8"/>
  <c r="I126" i="8"/>
  <c r="I131" i="8" s="1"/>
  <c r="I203" i="9"/>
  <c r="J203" i="9" s="1"/>
  <c r="I222" i="9"/>
  <c r="I216" i="9"/>
  <c r="I198" i="9"/>
  <c r="I208" i="9"/>
  <c r="J208" i="9" s="1"/>
  <c r="I210" i="9"/>
  <c r="I204" i="9"/>
  <c r="I215" i="9"/>
  <c r="J215" i="9" s="1"/>
  <c r="I220" i="9"/>
  <c r="J220" i="9" s="1"/>
  <c r="I197" i="9"/>
  <c r="J197" i="9" s="1"/>
  <c r="I209" i="9"/>
  <c r="J209" i="9" s="1"/>
  <c r="I221" i="9"/>
  <c r="J221" i="9" s="1"/>
  <c r="I214" i="9"/>
  <c r="J214" i="9" s="1"/>
  <c r="I202" i="9"/>
  <c r="J202" i="9" s="1"/>
  <c r="D197" i="9"/>
  <c r="I196" i="9"/>
  <c r="J196" i="9" s="1"/>
  <c r="K85" i="8"/>
  <c r="B100" i="8" s="1"/>
  <c r="K105" i="8"/>
  <c r="J85" i="8"/>
  <c r="B99" i="8" s="1"/>
  <c r="J105" i="8"/>
  <c r="L46" i="9"/>
  <c r="L39" i="9"/>
  <c r="K40" i="9"/>
  <c r="L43" i="9"/>
  <c r="K47" i="9"/>
  <c r="K36" i="9"/>
  <c r="L34" i="9"/>
  <c r="L44" i="9"/>
  <c r="L32" i="9"/>
  <c r="L45" i="9"/>
  <c r="K43" i="9"/>
  <c r="K34" i="9"/>
  <c r="L30" i="9"/>
  <c r="K42" i="9"/>
  <c r="K41" i="9"/>
  <c r="L29" i="9"/>
  <c r="K29" i="9"/>
  <c r="K38" i="9"/>
  <c r="K45" i="9"/>
  <c r="L33" i="9"/>
  <c r="L42" i="9"/>
  <c r="K33" i="9"/>
  <c r="K30" i="9"/>
  <c r="K35" i="9"/>
  <c r="L38" i="9"/>
  <c r="L31" i="9"/>
  <c r="L35" i="9"/>
  <c r="K44" i="9"/>
  <c r="L37" i="9"/>
  <c r="K31" i="9"/>
  <c r="K37" i="9"/>
  <c r="L36" i="9"/>
  <c r="K46" i="9"/>
  <c r="L41" i="9"/>
  <c r="K39" i="9"/>
  <c r="L40" i="9"/>
  <c r="L47" i="9"/>
  <c r="K32" i="9"/>
  <c r="I28" i="9"/>
  <c r="J28" i="9" s="1"/>
  <c r="K21" i="9"/>
  <c r="K15" i="9"/>
  <c r="K16" i="9"/>
  <c r="K19" i="9"/>
  <c r="N17" i="9"/>
  <c r="O17" i="9" s="1"/>
  <c r="K17" i="9"/>
  <c r="K14" i="9"/>
  <c r="K20" i="9"/>
  <c r="K18" i="9"/>
  <c r="J12" i="9"/>
  <c r="I11" i="9"/>
  <c r="J11" i="9" s="1"/>
  <c r="J9" i="9"/>
  <c r="J13" i="9"/>
  <c r="G111" i="9"/>
  <c r="G112" i="9"/>
  <c r="D29" i="10"/>
  <c r="D28" i="10"/>
  <c r="H164" i="9"/>
  <c r="G51" i="9"/>
  <c r="F11" i="10" s="1"/>
  <c r="M16" i="8"/>
  <c r="L28" i="9"/>
  <c r="K28" i="9"/>
  <c r="H27" i="9"/>
  <c r="F49" i="9"/>
  <c r="D10" i="10" s="1"/>
  <c r="J8" i="9"/>
  <c r="L11" i="9"/>
  <c r="L10" i="9"/>
  <c r="L9" i="9"/>
  <c r="L12" i="9"/>
  <c r="L13" i="9"/>
  <c r="F23" i="9"/>
  <c r="D9" i="10" s="1"/>
  <c r="H10" i="9"/>
  <c r="K12" i="9"/>
  <c r="K11" i="9"/>
  <c r="K13" i="9"/>
  <c r="K10" i="9"/>
  <c r="K9" i="9"/>
  <c r="M6" i="8"/>
  <c r="M9" i="8" s="1"/>
  <c r="M11" i="8" s="1"/>
  <c r="M13" i="8" s="1"/>
  <c r="L27" i="9"/>
  <c r="K27" i="9"/>
  <c r="K8" i="9"/>
  <c r="L8" i="9"/>
  <c r="F203" i="9" l="1"/>
  <c r="L32" i="8"/>
  <c r="F208" i="9"/>
  <c r="M22" i="8"/>
  <c r="M27" i="8" s="1"/>
  <c r="M37" i="8" s="1"/>
  <c r="M42" i="8" s="1"/>
  <c r="M46" i="8" s="1"/>
  <c r="M67" i="8"/>
  <c r="F197" i="9"/>
  <c r="F196" i="9"/>
  <c r="F202" i="9"/>
  <c r="F220" i="9"/>
  <c r="B152" i="8"/>
  <c r="F198" i="9"/>
  <c r="B154" i="8" s="1"/>
  <c r="E152" i="8"/>
  <c r="F216" i="9"/>
  <c r="E154" i="8" s="1"/>
  <c r="F214" i="9"/>
  <c r="F215" i="9"/>
  <c r="D152" i="8"/>
  <c r="F210" i="9"/>
  <c r="D154" i="8" s="1"/>
  <c r="C152" i="8"/>
  <c r="F204" i="9"/>
  <c r="C154" i="8" s="1"/>
  <c r="F222" i="9"/>
  <c r="F154" i="8" s="1"/>
  <c r="F221" i="9"/>
  <c r="J222" i="9"/>
  <c r="F149" i="8" s="1"/>
  <c r="F148" i="8"/>
  <c r="J216" i="9"/>
  <c r="E149" i="8" s="1"/>
  <c r="E148" i="8"/>
  <c r="J210" i="9"/>
  <c r="D149" i="8" s="1"/>
  <c r="D148" i="8"/>
  <c r="J204" i="9"/>
  <c r="C149" i="8" s="1"/>
  <c r="C148" i="8"/>
  <c r="J198" i="9"/>
  <c r="B149" i="8" s="1"/>
  <c r="B148" i="8"/>
  <c r="B119" i="8"/>
  <c r="J126" i="8"/>
  <c r="J131" i="8" s="1"/>
  <c r="B120" i="8"/>
  <c r="K126" i="8"/>
  <c r="K131" i="8" s="1"/>
  <c r="I27" i="9"/>
  <c r="J27" i="9" s="1"/>
  <c r="M35" i="9"/>
  <c r="Q35" i="9" s="1"/>
  <c r="M40" i="9"/>
  <c r="Q40" i="9" s="1"/>
  <c r="N40" i="9"/>
  <c r="O40" i="9" s="1"/>
  <c r="M36" i="9"/>
  <c r="Q36" i="9" s="1"/>
  <c r="M33" i="9"/>
  <c r="Q33" i="9" s="1"/>
  <c r="M29" i="9"/>
  <c r="Q29" i="9" s="1"/>
  <c r="M44" i="9"/>
  <c r="Q44" i="9" s="1"/>
  <c r="N44" i="9"/>
  <c r="O44" i="9" s="1"/>
  <c r="M43" i="9"/>
  <c r="Q43" i="9" s="1"/>
  <c r="N43" i="9"/>
  <c r="O43" i="9" s="1"/>
  <c r="M34" i="9"/>
  <c r="Q34" i="9" s="1"/>
  <c r="N41" i="9"/>
  <c r="O41" i="9" s="1"/>
  <c r="M41" i="9"/>
  <c r="Q41" i="9" s="1"/>
  <c r="M31" i="9"/>
  <c r="Q31" i="9" s="1"/>
  <c r="N45" i="9"/>
  <c r="O45" i="9" s="1"/>
  <c r="M45" i="9"/>
  <c r="Q45" i="9" s="1"/>
  <c r="M39" i="9"/>
  <c r="Q39" i="9" s="1"/>
  <c r="N39" i="9"/>
  <c r="O39" i="9" s="1"/>
  <c r="M47" i="9"/>
  <c r="Q47" i="9" s="1"/>
  <c r="N47" i="9"/>
  <c r="O47" i="9" s="1"/>
  <c r="M37" i="9"/>
  <c r="Q37" i="9" s="1"/>
  <c r="M38" i="9"/>
  <c r="Q38" i="9" s="1"/>
  <c r="N42" i="9"/>
  <c r="O42" i="9" s="1"/>
  <c r="M42" i="9"/>
  <c r="Q42" i="9" s="1"/>
  <c r="M30" i="9"/>
  <c r="Q30" i="9" s="1"/>
  <c r="M32" i="9"/>
  <c r="Q32" i="9" s="1"/>
  <c r="N46" i="9"/>
  <c r="O46" i="9" s="1"/>
  <c r="M46" i="9"/>
  <c r="Q46" i="9" s="1"/>
  <c r="M15" i="9"/>
  <c r="Q15" i="9" s="1"/>
  <c r="M20" i="9"/>
  <c r="Q20" i="9" s="1"/>
  <c r="M17" i="9"/>
  <c r="Q17" i="9" s="1"/>
  <c r="M16" i="9"/>
  <c r="Q16" i="9" s="1"/>
  <c r="N18" i="9"/>
  <c r="O18" i="9" s="1"/>
  <c r="B56" i="8"/>
  <c r="I10" i="9"/>
  <c r="J10" i="9" s="1"/>
  <c r="M18" i="9"/>
  <c r="Q18" i="9" s="1"/>
  <c r="M19" i="9"/>
  <c r="Q19" i="9" s="1"/>
  <c r="M14" i="9"/>
  <c r="Q14" i="9" s="1"/>
  <c r="M21" i="9"/>
  <c r="Q21" i="9" s="1"/>
  <c r="D30" i="10"/>
  <c r="G109" i="9"/>
  <c r="G13" i="10" s="1"/>
  <c r="L78" i="8"/>
  <c r="L74" i="8"/>
  <c r="M32" i="8"/>
  <c r="H49" i="9"/>
  <c r="F51" i="9"/>
  <c r="M28" i="9"/>
  <c r="M11" i="9"/>
  <c r="Q11" i="9" s="1"/>
  <c r="H23" i="9"/>
  <c r="G9" i="10" s="1"/>
  <c r="M12" i="9"/>
  <c r="Q12" i="9" s="1"/>
  <c r="M9" i="9"/>
  <c r="Q9" i="9" s="1"/>
  <c r="M13" i="9"/>
  <c r="M10" i="9"/>
  <c r="Q10" i="9" s="1"/>
  <c r="L23" i="9"/>
  <c r="K23" i="9"/>
  <c r="G113" i="9"/>
  <c r="M27" i="9"/>
  <c r="Q27" i="9" s="1"/>
  <c r="L49" i="9"/>
  <c r="M8" i="9"/>
  <c r="N8" i="9" s="1"/>
  <c r="K49" i="9"/>
  <c r="B59" i="8" l="1"/>
  <c r="G115" i="9" s="1"/>
  <c r="G14" i="10" s="1"/>
  <c r="B58" i="8"/>
  <c r="N15" i="9"/>
  <c r="O15" i="9" s="1"/>
  <c r="L85" i="8"/>
  <c r="B101" i="8" s="1"/>
  <c r="L105" i="8"/>
  <c r="N33" i="9"/>
  <c r="O33" i="9" s="1"/>
  <c r="N37" i="9"/>
  <c r="O37" i="9" s="1"/>
  <c r="N31" i="9"/>
  <c r="O31" i="9" s="1"/>
  <c r="N34" i="9"/>
  <c r="O34" i="9" s="1"/>
  <c r="N32" i="9"/>
  <c r="O32" i="9" s="1"/>
  <c r="N29" i="9"/>
  <c r="O29" i="9" s="1"/>
  <c r="N36" i="9"/>
  <c r="O36" i="9" s="1"/>
  <c r="N35" i="9"/>
  <c r="O35" i="9" s="1"/>
  <c r="N30" i="9"/>
  <c r="O30" i="9" s="1"/>
  <c r="N38" i="9"/>
  <c r="O38" i="9" s="1"/>
  <c r="N27" i="9"/>
  <c r="O27" i="9" s="1"/>
  <c r="Q28" i="9"/>
  <c r="Q49" i="9" s="1"/>
  <c r="N28" i="9"/>
  <c r="N11" i="9"/>
  <c r="N14" i="9"/>
  <c r="O14" i="9" s="1"/>
  <c r="N10" i="9"/>
  <c r="O10" i="9" s="1"/>
  <c r="N9" i="9"/>
  <c r="O9" i="9" s="1"/>
  <c r="N12" i="9"/>
  <c r="O12" i="9" s="1"/>
  <c r="N13" i="9"/>
  <c r="O13" i="9" s="1"/>
  <c r="M78" i="8"/>
  <c r="M74" i="8"/>
  <c r="I10" i="10"/>
  <c r="B63" i="8"/>
  <c r="J9" i="10"/>
  <c r="C62" i="8"/>
  <c r="J10" i="10"/>
  <c r="C63" i="8"/>
  <c r="I9" i="10"/>
  <c r="B62" i="8"/>
  <c r="I49" i="9"/>
  <c r="J49" i="9" s="1"/>
  <c r="G10" i="10"/>
  <c r="D11" i="10"/>
  <c r="H51" i="9"/>
  <c r="I23" i="9"/>
  <c r="J23" i="9" s="1"/>
  <c r="K51" i="9"/>
  <c r="B64" i="8" s="1"/>
  <c r="L51" i="9"/>
  <c r="C64" i="8" s="1"/>
  <c r="O28" i="9"/>
  <c r="O11" i="9"/>
  <c r="Q13" i="9"/>
  <c r="M23" i="9"/>
  <c r="K9" i="10" s="1"/>
  <c r="Q8" i="9"/>
  <c r="G117" i="9"/>
  <c r="G119" i="9" s="1"/>
  <c r="G16" i="10" s="1"/>
  <c r="G15" i="10"/>
  <c r="M49" i="9"/>
  <c r="O8" i="9"/>
  <c r="B121" i="8" l="1"/>
  <c r="L126" i="8"/>
  <c r="L131" i="8" s="1"/>
  <c r="M85" i="8"/>
  <c r="B102" i="8" s="1"/>
  <c r="M105" i="8"/>
  <c r="N49" i="9"/>
  <c r="O49" i="9" s="1"/>
  <c r="K10" i="10"/>
  <c r="I11" i="10"/>
  <c r="M51" i="9"/>
  <c r="N51" i="9" s="1"/>
  <c r="O51" i="9" s="1"/>
  <c r="Q23" i="9"/>
  <c r="N23" i="9"/>
  <c r="O23" i="9" s="1"/>
  <c r="B122" i="8" l="1"/>
  <c r="M126" i="8"/>
  <c r="M131" i="8" s="1"/>
  <c r="K11" i="10"/>
  <c r="Q51" i="9"/>
  <c r="B52" i="8" s="1"/>
  <c r="I51" i="9"/>
  <c r="J51" i="9" s="1"/>
  <c r="G11" i="10"/>
  <c r="J11" i="10" l="1"/>
</calcChain>
</file>

<file path=xl/comments1.xml><?xml version="1.0" encoding="utf-8"?>
<comments xmlns="http://schemas.openxmlformats.org/spreadsheetml/2006/main">
  <authors>
    <author>Tristan Dean</author>
  </authors>
  <commentList>
    <comment ref="D15" authorId="0">
      <text>
        <r>
          <rPr>
            <b/>
            <sz val="9"/>
            <color indexed="81"/>
            <rFont val="Tahoma"/>
            <family val="2"/>
          </rPr>
          <t xml:space="preserve">SELECT MONTH OF REPORT FROM DROPDOWN BOX
</t>
        </r>
        <r>
          <rPr>
            <sz val="9"/>
            <color indexed="81"/>
            <rFont val="Tahoma"/>
            <family val="2"/>
          </rPr>
          <t xml:space="preserve">
</t>
        </r>
      </text>
    </comment>
  </commentList>
</comments>
</file>

<file path=xl/sharedStrings.xml><?xml version="1.0" encoding="utf-8"?>
<sst xmlns="http://schemas.openxmlformats.org/spreadsheetml/2006/main" count="452" uniqueCount="247">
  <si>
    <t>Target</t>
  </si>
  <si>
    <t>Other</t>
  </si>
  <si>
    <t xml:space="preserve">Employee Hours Spent on Training and Development </t>
  </si>
  <si>
    <t>Total</t>
  </si>
  <si>
    <t>Year to Date</t>
  </si>
  <si>
    <t>Revenue</t>
  </si>
  <si>
    <t>Depreciation</t>
  </si>
  <si>
    <t>Actual</t>
  </si>
  <si>
    <t>Budget</t>
  </si>
  <si>
    <t>YTD</t>
  </si>
  <si>
    <t>Var $</t>
  </si>
  <si>
    <t>Var %</t>
  </si>
  <si>
    <t xml:space="preserve">Statement of Financial Performance </t>
  </si>
  <si>
    <r>
      <t xml:space="preserve">Plastic Rubbish </t>
    </r>
    <r>
      <rPr>
        <sz val="10"/>
        <rFont val="Arial"/>
        <family val="2"/>
      </rPr>
      <t>(kg)</t>
    </r>
  </si>
  <si>
    <r>
      <t xml:space="preserve">Water Usage </t>
    </r>
    <r>
      <rPr>
        <sz val="10"/>
        <rFont val="Arial"/>
        <family val="2"/>
      </rPr>
      <t>(m</t>
    </r>
    <r>
      <rPr>
        <sz val="10"/>
        <rFont val="Calibri"/>
        <family val="2"/>
      </rPr>
      <t>³</t>
    </r>
    <r>
      <rPr>
        <sz val="10"/>
        <rFont val="Arial"/>
        <family val="2"/>
      </rPr>
      <t xml:space="preserve"> usage per day)</t>
    </r>
  </si>
  <si>
    <r>
      <t xml:space="preserve">Employee Retention </t>
    </r>
    <r>
      <rPr>
        <sz val="10"/>
        <rFont val="Arial"/>
        <family val="2"/>
      </rPr>
      <t>(% of total FTE Staff)</t>
    </r>
  </si>
  <si>
    <t>Total number of Staff</t>
  </si>
  <si>
    <t>Total Staff Retention Rate</t>
  </si>
  <si>
    <t>Human Capital KPIs</t>
  </si>
  <si>
    <t>Administration Staff</t>
  </si>
  <si>
    <t>Variance</t>
  </si>
  <si>
    <t>Accounts Receivable</t>
  </si>
  <si>
    <t>Accounts Payable</t>
  </si>
  <si>
    <t>Cash on Hand</t>
  </si>
  <si>
    <t>Inventory</t>
  </si>
  <si>
    <t>GST Receivable</t>
  </si>
  <si>
    <t>Other Current Assets</t>
  </si>
  <si>
    <t>GST Payable</t>
  </si>
  <si>
    <t>Income Received in Advance</t>
  </si>
  <si>
    <t>Other Current Liabilities</t>
  </si>
  <si>
    <t>Financial Performance - Actual</t>
  </si>
  <si>
    <t>Current Assets</t>
  </si>
  <si>
    <t>Current Liabilities</t>
  </si>
  <si>
    <t>Plant and Equipment</t>
  </si>
  <si>
    <t>Intangible Assets</t>
  </si>
  <si>
    <t>Term Liabilities</t>
  </si>
  <si>
    <t>Bank Debt</t>
  </si>
  <si>
    <t>Equity</t>
  </si>
  <si>
    <t>Working Capital</t>
  </si>
  <si>
    <t>Financial Performance - Budget</t>
  </si>
  <si>
    <t>Financial Position - Targets</t>
  </si>
  <si>
    <t>Receivables Days</t>
  </si>
  <si>
    <t>Payables Days</t>
  </si>
  <si>
    <t>Working Capital Ratio</t>
  </si>
  <si>
    <t>Debt to Equity Ratio</t>
  </si>
  <si>
    <t>Graph Data</t>
  </si>
  <si>
    <t>Summary Statement of Financial Position</t>
  </si>
  <si>
    <t>Accounts Payables Days</t>
  </si>
  <si>
    <t>Accounts Receivables Days</t>
  </si>
  <si>
    <t xml:space="preserve">YTD plus </t>
  </si>
  <si>
    <t>Remaining Budget</t>
  </si>
  <si>
    <t>Revenue - Actual v Budget</t>
  </si>
  <si>
    <t>Membership Fees</t>
  </si>
  <si>
    <t>Financial Position - Actual</t>
  </si>
  <si>
    <t>Sponsorship Income (Unsecured)</t>
  </si>
  <si>
    <t>YTD Variance against budget</t>
  </si>
  <si>
    <t>Pecentage Received</t>
  </si>
  <si>
    <t>Monthly Reporting Template</t>
  </si>
  <si>
    <t>Environmental</t>
  </si>
  <si>
    <r>
      <t xml:space="preserve">Unplanned Absenteeism  </t>
    </r>
    <r>
      <rPr>
        <sz val="10"/>
        <rFont val="Arial"/>
        <family val="2"/>
      </rPr>
      <t>(Days)</t>
    </r>
  </si>
  <si>
    <t>Operational Staff</t>
  </si>
  <si>
    <t>Training Hours</t>
  </si>
  <si>
    <t>Note: Enter data only in the cells coloured:</t>
  </si>
  <si>
    <t xml:space="preserve">of each organisation. </t>
  </si>
  <si>
    <t>Note that data should only be entered into cells coloured light blue:</t>
  </si>
  <si>
    <t>Reports for the 12 months begining :</t>
  </si>
  <si>
    <t>Reporting Month:</t>
  </si>
  <si>
    <t>Percentage of full year unsecured income collected:</t>
  </si>
  <si>
    <t>Financial Performance</t>
  </si>
  <si>
    <t>Financial Position</t>
  </si>
  <si>
    <t>Total Revenue</t>
  </si>
  <si>
    <t xml:space="preserve">Total Income </t>
  </si>
  <si>
    <t>Total Income</t>
  </si>
  <si>
    <t>Report for the month of:</t>
  </si>
  <si>
    <t>Sponsorship Income (Secured)</t>
  </si>
  <si>
    <t>Unsecured Sponsorship Income</t>
  </si>
  <si>
    <t>Overheads - Actual V Budget</t>
  </si>
  <si>
    <t>Other Income</t>
  </si>
  <si>
    <t>Administration Costs</t>
  </si>
  <si>
    <t>Advocacy</t>
  </si>
  <si>
    <t>Audit Fees</t>
  </si>
  <si>
    <t>Interest Charges</t>
  </si>
  <si>
    <t>Programs and Training Courses</t>
  </si>
  <si>
    <t>Talent Development</t>
  </si>
  <si>
    <t>Event Costs</t>
  </si>
  <si>
    <t>Total Expenses</t>
  </si>
  <si>
    <t>Cash at Bank/(Bank Overdraft)</t>
  </si>
  <si>
    <t xml:space="preserve"> </t>
  </si>
  <si>
    <t>Program and Training courses - unexepcted costs incurred due to having to rewrite manuals for rule changes</t>
  </si>
  <si>
    <t>Total Equity</t>
  </si>
  <si>
    <t>This template has four worksheets in addition to this introduction section:</t>
  </si>
  <si>
    <r>
      <t xml:space="preserve">Financial Data Input: </t>
    </r>
    <r>
      <rPr>
        <sz val="10"/>
        <rFont val="Arial"/>
        <family val="2"/>
      </rPr>
      <t>Input required of monthly financial data and full year budgets.  Enter data only in the blue cells.</t>
    </r>
  </si>
  <si>
    <t>Tristan Dean</t>
  </si>
  <si>
    <t>Hayes Knight North Limited</t>
  </si>
  <si>
    <t>Email: tristan.dean@hayesknight.co.nz</t>
  </si>
  <si>
    <t>Phone: 09 414 5444</t>
  </si>
  <si>
    <t>Terminology:</t>
  </si>
  <si>
    <t>less current liabilities (bank overdraft, accounts payable).</t>
  </si>
  <si>
    <r>
      <t xml:space="preserve">Equity: </t>
    </r>
    <r>
      <rPr>
        <sz val="10"/>
        <rFont val="Arial"/>
        <family val="2"/>
      </rPr>
      <t>the sum of all the assets that the entity has, less all the liabilities that is has. Negative equity indicates that the entity is in an insolvent position.</t>
    </r>
  </si>
  <si>
    <t>Traffic Light Colour Coding</t>
  </si>
  <si>
    <t>Example Sporting Organisation</t>
  </si>
  <si>
    <t>Expenses</t>
  </si>
  <si>
    <t>Income</t>
  </si>
  <si>
    <r>
      <t xml:space="preserve">Note: </t>
    </r>
    <r>
      <rPr>
        <sz val="10"/>
        <rFont val="Arial"/>
        <family val="2"/>
      </rPr>
      <t xml:space="preserve">As this template contains many automated features, adding or removing columns or rows may cause functionality to be lost.  For queries regarding the template or to obtain </t>
    </r>
  </si>
  <si>
    <t>a quote to customise the template to meet your specific needs, please contact:</t>
  </si>
  <si>
    <t>Proudly created by Hayes Knight</t>
  </si>
  <si>
    <t>Ratios and Analysis</t>
  </si>
  <si>
    <t>Payables Aging</t>
  </si>
  <si>
    <t>Current</t>
  </si>
  <si>
    <t>Receivables Aging</t>
  </si>
  <si>
    <t>One month overdue</t>
  </si>
  <si>
    <t>Two months overdue</t>
  </si>
  <si>
    <t>Three months or more overdue</t>
  </si>
  <si>
    <t>Overdue Receivables</t>
  </si>
  <si>
    <t>Overdue Payables</t>
  </si>
  <si>
    <t>$</t>
  </si>
  <si>
    <t>%</t>
  </si>
  <si>
    <t>Current Receivables Target</t>
  </si>
  <si>
    <t>Current Payables Target</t>
  </si>
  <si>
    <t>Actual Cash Position</t>
  </si>
  <si>
    <t>Latest Projected Cash Position</t>
  </si>
  <si>
    <t>Actual Month End Cash Balance</t>
  </si>
  <si>
    <t>Latest Forecast Cash Position</t>
  </si>
  <si>
    <t>Latest Forecast</t>
  </si>
  <si>
    <t>Current Year Actual</t>
  </si>
  <si>
    <t>Current Year Target</t>
  </si>
  <si>
    <r>
      <t>Electricity and Power Consumption</t>
    </r>
    <r>
      <rPr>
        <sz val="10"/>
        <rFont val="Arial"/>
        <family val="2"/>
      </rPr>
      <t xml:space="preserve">  (kWh of energy)</t>
    </r>
  </si>
  <si>
    <t>Working Capital Ratio Target</t>
  </si>
  <si>
    <t>Annual</t>
  </si>
  <si>
    <t>(Percentage of total Accounts Receivables expected to be paid on time rather than being overdue)</t>
  </si>
  <si>
    <t>(Percentage of total Accounts Payable expected to be paid on time rather than being paid late)</t>
  </si>
  <si>
    <t xml:space="preserve">(Your target ratio of current assets to current liabilities) </t>
  </si>
  <si>
    <t>Total Assets</t>
  </si>
  <si>
    <t>Total Liabilities</t>
  </si>
  <si>
    <t>Cash On Hand</t>
  </si>
  <si>
    <t>Amount ahead/behind unsecured income budget:</t>
  </si>
  <si>
    <t>Grants (Secured)</t>
  </si>
  <si>
    <t>Grants (Unsecured)</t>
  </si>
  <si>
    <t>Event Income</t>
  </si>
  <si>
    <t>Grant Income</t>
  </si>
  <si>
    <t>Total Unsecured Income</t>
  </si>
  <si>
    <t>Total Unsecured Revenue Budget</t>
  </si>
  <si>
    <t>Budgeted Cash Position</t>
  </si>
  <si>
    <t>Target Ratio</t>
  </si>
  <si>
    <t>Actual Ratio</t>
  </si>
  <si>
    <t>Budgeted Month End Cash Balance</t>
  </si>
  <si>
    <t>Budgeted</t>
  </si>
  <si>
    <t>Latest estimate of unsecured income for remainder of year:</t>
  </si>
  <si>
    <t>Percentage of full year budgeted unsecured income received:</t>
  </si>
  <si>
    <t>Expected full year surplus/shortfall:</t>
  </si>
  <si>
    <t>Remaining Unsecured Budgeted Income</t>
  </si>
  <si>
    <t>Year to Date Unsecured Income Received</t>
  </si>
  <si>
    <t>Year to Date Unsecured Income (Budget)</t>
  </si>
  <si>
    <t>Total unsecured income required to meet full year budget:</t>
  </si>
  <si>
    <t>YTD Unsecured Income Received</t>
  </si>
  <si>
    <t>Total Unsecured Income Budget (Full Year)</t>
  </si>
  <si>
    <t>Latest expected full year surplus/shortfall in unsecured income:</t>
  </si>
  <si>
    <t>Remaining unsecured budgeted income:</t>
  </si>
  <si>
    <t xml:space="preserve">This report template provides a basic outline for the presentation of monthly reports, both financial and non financial.  It is intended to be modified to fit the specific requriements   </t>
  </si>
  <si>
    <r>
      <t xml:space="preserve">Financial Report: </t>
    </r>
    <r>
      <rPr>
        <sz val="10"/>
        <rFont val="Arial"/>
        <family val="2"/>
      </rPr>
      <t>A detailed financial analysis of both the latest month and year to date, together with graphs relating to key items.</t>
    </r>
  </si>
  <si>
    <t>The following terms are used within this template:</t>
  </si>
  <si>
    <r>
      <t>Working Capital: a</t>
    </r>
    <r>
      <rPr>
        <sz val="10"/>
        <rFont val="Arial"/>
        <family val="2"/>
      </rPr>
      <t xml:space="preserve"> measure of the entity's ability to pay its costs as they fall due.  It is the sum of all current assets that the entity has (cash, accounts receivable)</t>
    </r>
  </si>
  <si>
    <r>
      <t>Overdue Receivables:</t>
    </r>
    <r>
      <rPr>
        <sz val="10"/>
        <rFont val="Arial"/>
        <family val="2"/>
      </rPr>
      <t xml:space="preserve"> amounts collectable by the organisation for services performed or fees levied that should already have been received.</t>
    </r>
  </si>
  <si>
    <r>
      <t>Overdue Payables:</t>
    </r>
    <r>
      <rPr>
        <sz val="10"/>
        <rFont val="Arial"/>
        <family val="2"/>
      </rPr>
      <t xml:space="preserve"> amounts payable by the organisation for goods or services received that should already have been paid.</t>
    </r>
  </si>
  <si>
    <r>
      <t xml:space="preserve">Unsecured Revenue: </t>
    </r>
    <r>
      <rPr>
        <sz val="10"/>
        <rFont val="Arial"/>
        <family val="2"/>
      </rPr>
      <t xml:space="preserve">income streams that are anticipated and budgeted for but have not been secured or contracted at the commencement of the financial year. </t>
    </r>
  </si>
  <si>
    <r>
      <t xml:space="preserve">Secured Revenue: </t>
    </r>
    <r>
      <rPr>
        <sz val="10"/>
        <rFont val="Arial"/>
        <family val="2"/>
      </rPr>
      <t>income streams that have been contracted for prior to the commencement of the financial year.</t>
    </r>
  </si>
  <si>
    <t>within 10% of forecast and red for items that are greater than 10% below forecast.</t>
  </si>
  <si>
    <t>In certain areas of the report, figures will be highlighted Green, Yellow or Red.  Green shading applies to items that are equal to or better than forecast, yellow for items below forecast but</t>
  </si>
  <si>
    <t>Grants (Secured) - secured grant income was incorrectly budgeted for in the current month based on contracts in place at the beginning of the year.  Likely to be as budgeted for the rest of the year.</t>
  </si>
  <si>
    <t>FINANCIAL</t>
  </si>
  <si>
    <t>Financial Performance Forecast</t>
  </si>
  <si>
    <t>Variance on Prior Year</t>
  </si>
  <si>
    <t>Prior Year Usage</t>
  </si>
  <si>
    <t>YTD Variance on Prior Year</t>
  </si>
  <si>
    <t>Division 1</t>
  </si>
  <si>
    <t>Divisional Reporting - Actual</t>
  </si>
  <si>
    <t>Division 2</t>
  </si>
  <si>
    <t>Division 3</t>
  </si>
  <si>
    <t>Division 4</t>
  </si>
  <si>
    <t>Division 5</t>
  </si>
  <si>
    <t>Divisional Reporting - Budget</t>
  </si>
  <si>
    <t>Divisional Results</t>
  </si>
  <si>
    <t xml:space="preserve">Budget </t>
  </si>
  <si>
    <t>Current Month</t>
  </si>
  <si>
    <t>Income down on budget due to planned initiative not taking place.  Costs will reduce going forward now that the project has been put on hold indefinitely.</t>
  </si>
  <si>
    <t>Grant Funding</t>
  </si>
  <si>
    <t>Sponsorship Funding</t>
  </si>
  <si>
    <t>Confirmed Total Grant Funding</t>
  </si>
  <si>
    <t>Confirmed Total Sponsorship Funding</t>
  </si>
  <si>
    <t>Confirmed</t>
  </si>
  <si>
    <t>Insert Commentary</t>
  </si>
  <si>
    <t>Variance Explanations and Commentary</t>
  </si>
  <si>
    <t>Unsecured Revenue, Grant and Sponsorship Commentary</t>
  </si>
  <si>
    <t>Enter Commentary</t>
  </si>
  <si>
    <t>Actual Month End Cash Position</t>
  </si>
  <si>
    <t>Short Term Cash Requirement</t>
  </si>
  <si>
    <t>Cash Position and Requirements Forecast</t>
  </si>
  <si>
    <t>Cash Reserves/(Shortfall)</t>
  </si>
  <si>
    <t>Fixed Assets and Long Term Investments</t>
  </si>
  <si>
    <t>Fixed and Long Term Assets</t>
  </si>
  <si>
    <t>YTD Actual + Remaining Budget</t>
  </si>
  <si>
    <t>Original Full Year Budget</t>
  </si>
  <si>
    <t xml:space="preserve">Latest Full Year Forecast </t>
  </si>
  <si>
    <t>DIVISIONAL RESULTS</t>
  </si>
  <si>
    <t>Please enter the following information in the cells below.  Other data can be made directly onto the worksheets, in the light blue cells.</t>
  </si>
  <si>
    <t xml:space="preserve">Reporting entity name: </t>
  </si>
  <si>
    <t>Income in August was higher than expected due to a one off grant being received from XYZ.  However, program and training course expenses were significantly over budget due to having to rewrite manuals and procedures.</t>
  </si>
  <si>
    <t>Net Surplus</t>
  </si>
  <si>
    <t>YTD Surplus by Division</t>
  </si>
  <si>
    <t>Current Month Surplus by Division</t>
  </si>
  <si>
    <t>Net Surplus - Actual v Budget</t>
  </si>
  <si>
    <t>Less Inventory</t>
  </si>
  <si>
    <t>Quick Assets</t>
  </si>
  <si>
    <t>Less Depreciation</t>
  </si>
  <si>
    <t>Expenses ex Depreciation</t>
  </si>
  <si>
    <t>Annualised Expenses</t>
  </si>
  <si>
    <t>Daily Expenses</t>
  </si>
  <si>
    <t>Days in Quick Assets</t>
  </si>
  <si>
    <r>
      <t xml:space="preserve">Days Covered by Net Liquid Assets: </t>
    </r>
    <r>
      <rPr>
        <sz val="10"/>
        <rFont val="Arial"/>
        <family val="2"/>
      </rPr>
      <t>an indication of how many days an entity could handle short term cashflow problems.  It calculates how many days operational expenditure can be</t>
    </r>
  </si>
  <si>
    <t xml:space="preserve">paid for from cash and other liquid assets held.  A common benchmark is 90 days cover.  </t>
  </si>
  <si>
    <t>Insert Commentary/Overall Summary</t>
  </si>
  <si>
    <t>Projected Total Grant Funding</t>
  </si>
  <si>
    <t>Projected Total Sponsorship Funding</t>
  </si>
  <si>
    <t>Latest Full Year Forecast</t>
  </si>
  <si>
    <t>Days Covered by Liquid Assets</t>
  </si>
  <si>
    <t>(Benchmark days operating expenditure covered by net liquid assets)</t>
  </si>
  <si>
    <t>Target Days</t>
  </si>
  <si>
    <t>Target Retention Rate</t>
  </si>
  <si>
    <t>Target Unplanned Absenteeism</t>
  </si>
  <si>
    <t>Days Cover</t>
  </si>
  <si>
    <t>Net Surplus / (Deficit)</t>
  </si>
  <si>
    <t>Forecast</t>
  </si>
  <si>
    <r>
      <t xml:space="preserve">Summary Report: </t>
    </r>
    <r>
      <rPr>
        <sz val="10"/>
        <rFont val="Arial"/>
        <family val="2"/>
      </rPr>
      <t>A high level overview of key financial measures.  No data input is required in this section but commentary can be added.</t>
    </r>
  </si>
  <si>
    <r>
      <t xml:space="preserve">Non Financial Statistics: </t>
    </r>
    <r>
      <rPr>
        <sz val="10"/>
        <rFont val="Arial"/>
        <family val="2"/>
      </rPr>
      <t>A detailed analysis of non financial metrics, including environmental and human resources.</t>
    </r>
  </si>
  <si>
    <t>Budgeted Surplus (Deficit)</t>
  </si>
  <si>
    <t>Actual Surplus</t>
  </si>
  <si>
    <t>Latest Forecast Surplus</t>
  </si>
  <si>
    <t>Surplus</t>
  </si>
  <si>
    <t>Surplus (Deficit)</t>
  </si>
  <si>
    <t>Budgeted YTD Total Sponsorship Funding</t>
  </si>
  <si>
    <t>Budgeted YTD Total Grant Funding</t>
  </si>
  <si>
    <t>Targeted Training Hours</t>
  </si>
  <si>
    <t>This template has been built in consultation with the sector. It is designed to reflect the key information required by boards for the majority of organisations. It will need adapting for individual circumstances.</t>
  </si>
  <si>
    <t>Governance Reporting</t>
  </si>
  <si>
    <t>Management should not be left guessing the information requirements of the board.</t>
  </si>
  <si>
    <t>This is a governance document. It is designed to serve the needs of the board for clear, concise, aggregated information. It is not a set of management accounts and nor does it provide the level of detail that may be required by a finance sub-committee.</t>
  </si>
  <si>
    <t>Any board should have made it clear to management what information is required. This should come from the measures in the strategic plan, the financial policies and delegations and any particular areas of risk that concerns the board. The board and management should also have agreed on “lead’ measures such as staff and stakeholder satisfaction, retention levels, efficiency rates, renewals etc. which contribute to the higher level outcomes.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</si>
</sst>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4" formatCode="_-&quot;$&quot;* #,##0.00_-;\-&quot;$&quot;* #,##0.00_-;_-&quot;$&quot;* &quot;-&quot;??_-;_-@_-"/>
    <numFmt numFmtId="43" formatCode="_-* #,##0.00_-;\-* #,##0.00_-;_-* &quot;-&quot;??_-;_-@_-"/>
    <numFmt numFmtId="164" formatCode="mmm\ yy"/>
    <numFmt numFmtId="165" formatCode="_-* #,##0_-;\-* #,##0_-;_-* &quot;-&quot;??_-;_-@_-"/>
    <numFmt numFmtId="166" formatCode="_-&quot;$&quot;* #,##0_-;\-&quot;$&quot;* #,##0_-;_-&quot;$&quot;* &quot;-&quot;??_-;_-@_-"/>
    <numFmt numFmtId="167" formatCode="_(* #,##0.00_);_(* \(#,##0.00\);_(* &quot;-&quot;??_);_(@_)"/>
    <numFmt numFmtId="168" formatCode="_(* #,##0_);_(* \(#,##0\);_(* &quot;-&quot;??_);_(@_)"/>
    <numFmt numFmtId="169" formatCode="d\ mmmm\ yy"/>
    <numFmt numFmtId="170" formatCode="yyyy"/>
  </numFmts>
  <fonts count="30">
    <font>
      <sz val="10"/>
      <name val="Arial"/>
    </font>
    <font>
      <sz val="10"/>
      <name val="Arial"/>
      <family val="2"/>
    </font>
    <font>
      <sz val="12"/>
      <name val="Arial Narrow"/>
      <family val="2"/>
    </font>
    <font>
      <sz val="10"/>
      <name val="Arial"/>
      <family val="2"/>
    </font>
    <font>
      <b/>
      <sz val="16"/>
      <name val="Arial"/>
      <family val="2"/>
    </font>
    <font>
      <b/>
      <sz val="14"/>
      <name val="Arial"/>
      <family val="2"/>
    </font>
    <font>
      <b/>
      <sz val="18"/>
      <name val="Arial"/>
      <family val="2"/>
    </font>
    <font>
      <i/>
      <sz val="12"/>
      <name val="Arial"/>
      <family val="2"/>
    </font>
    <font>
      <b/>
      <sz val="12"/>
      <name val="Arial"/>
      <family val="2"/>
    </font>
    <font>
      <b/>
      <sz val="10"/>
      <name val="Arial"/>
      <family val="2"/>
    </font>
    <font>
      <b/>
      <sz val="10"/>
      <name val="Wingdings"/>
      <charset val="2"/>
    </font>
    <font>
      <sz val="10"/>
      <name val="Calibri"/>
      <family val="2"/>
    </font>
    <font>
      <sz val="10"/>
      <color indexed="23"/>
      <name val="Arial"/>
      <family val="2"/>
    </font>
    <font>
      <sz val="11"/>
      <color theme="1"/>
      <name val="Calibri"/>
      <family val="2"/>
      <scheme val="minor"/>
    </font>
    <font>
      <i/>
      <sz val="9"/>
      <color theme="0" tint="-0.249977111117893"/>
      <name val="Arial"/>
      <family val="2"/>
    </font>
    <font>
      <b/>
      <sz val="10"/>
      <color theme="0"/>
      <name val="Arial"/>
      <family val="2"/>
    </font>
    <font>
      <sz val="10"/>
      <color theme="0"/>
      <name val="Arial"/>
      <family val="2"/>
    </font>
    <font>
      <sz val="10"/>
      <color theme="0" tint="-0.34998626667073579"/>
      <name val="Arial"/>
      <family val="2"/>
    </font>
    <font>
      <b/>
      <sz val="22"/>
      <color rgb="FF0070C0"/>
      <name val="Arial"/>
      <family val="2"/>
    </font>
    <font>
      <sz val="10"/>
      <color rgb="FF0070C0"/>
      <name val="Arial"/>
      <family val="2"/>
    </font>
    <font>
      <sz val="28"/>
      <color rgb="FF0070C0"/>
      <name val="Arial"/>
      <family val="2"/>
    </font>
    <font>
      <b/>
      <sz val="18"/>
      <color rgb="FF0070C0"/>
      <name val="Arial"/>
      <family val="2"/>
    </font>
    <font>
      <sz val="9"/>
      <color indexed="81"/>
      <name val="Tahoma"/>
      <family val="2"/>
    </font>
    <font>
      <b/>
      <sz val="9"/>
      <color indexed="81"/>
      <name val="Tahoma"/>
      <family val="2"/>
    </font>
    <font>
      <b/>
      <u/>
      <sz val="10"/>
      <name val="Arial"/>
      <family val="2"/>
    </font>
    <font>
      <sz val="8"/>
      <name val="Arial"/>
      <family val="2"/>
    </font>
    <font>
      <b/>
      <sz val="7"/>
      <name val="Arial"/>
      <family val="2"/>
    </font>
    <font>
      <sz val="10"/>
      <color rgb="FFFF0000"/>
      <name val="Arial"/>
      <family val="2"/>
    </font>
    <font>
      <sz val="10"/>
      <name val="Aer"/>
    </font>
    <font>
      <b/>
      <sz val="10"/>
      <name val="Ae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style="thin">
        <color indexed="64"/>
      </top>
      <bottom style="double">
        <color indexed="64"/>
      </bottom>
      <diagonal/>
    </border>
    <border>
      <left style="thin">
        <color theme="0"/>
      </left>
      <right style="thin">
        <color theme="0"/>
      </right>
      <top style="thin">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3" fillId="0" borderId="0"/>
    <xf numFmtId="0" fontId="3" fillId="0" borderId="0"/>
    <xf numFmtId="0" fontId="2" fillId="0" borderId="0"/>
    <xf numFmtId="9" fontId="1" fillId="0" borderId="0" applyFont="0" applyFill="0" applyBorder="0" applyAlignment="0" applyProtection="0"/>
    <xf numFmtId="9" fontId="3" fillId="0" borderId="0" applyFont="0" applyFill="0" applyBorder="0" applyAlignment="0" applyProtection="0"/>
  </cellStyleXfs>
  <cellXfs count="390">
    <xf numFmtId="0" fontId="0" fillId="0" borderId="0" xfId="0"/>
    <xf numFmtId="0" fontId="3" fillId="2" borderId="0" xfId="6" applyFont="1" applyFill="1" applyBorder="1" applyAlignment="1">
      <alignment vertical="center"/>
    </xf>
    <xf numFmtId="0" fontId="5" fillId="2" borderId="0" xfId="6" applyFont="1" applyFill="1" applyBorder="1" applyAlignment="1">
      <alignment vertical="center"/>
    </xf>
    <xf numFmtId="0" fontId="4" fillId="2" borderId="0" xfId="6" applyFont="1" applyFill="1" applyBorder="1" applyAlignment="1">
      <alignment horizontal="left" vertical="center"/>
    </xf>
    <xf numFmtId="0" fontId="6" fillId="2" borderId="0" xfId="6" applyFont="1" applyFill="1" applyBorder="1" applyAlignment="1">
      <alignment vertical="center"/>
    </xf>
    <xf numFmtId="0" fontId="0" fillId="2" borderId="0" xfId="0" applyFill="1" applyAlignment="1">
      <alignment vertical="center"/>
    </xf>
    <xf numFmtId="0" fontId="7" fillId="2" borderId="0" xfId="6" applyFont="1" applyFill="1" applyBorder="1" applyAlignment="1">
      <alignment horizontal="center" vertical="center"/>
    </xf>
    <xf numFmtId="0" fontId="8" fillId="2" borderId="0" xfId="0" applyFont="1" applyFill="1" applyAlignment="1">
      <alignment vertical="center"/>
    </xf>
    <xf numFmtId="0" fontId="3" fillId="2" borderId="0" xfId="6" applyFont="1" applyFill="1" applyBorder="1" applyAlignment="1">
      <alignment horizontal="left" vertical="center" wrapText="1"/>
    </xf>
    <xf numFmtId="0" fontId="9" fillId="2" borderId="0" xfId="0" applyFont="1" applyFill="1" applyAlignment="1">
      <alignment vertical="center"/>
    </xf>
    <xf numFmtId="17" fontId="9" fillId="2" borderId="0" xfId="0" applyNumberFormat="1" applyFont="1" applyFill="1" applyAlignment="1">
      <alignment horizontal="right" vertical="center"/>
    </xf>
    <xf numFmtId="0" fontId="0" fillId="2" borderId="0" xfId="0" applyFill="1" applyAlignment="1">
      <alignment horizontal="center" vertical="center"/>
    </xf>
    <xf numFmtId="17" fontId="3" fillId="2" borderId="1"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0" xfId="6" applyFont="1" applyFill="1" applyBorder="1" applyAlignment="1">
      <alignment horizontal="center" vertical="center"/>
    </xf>
    <xf numFmtId="165" fontId="3" fillId="2" borderId="2" xfId="1" applyNumberFormat="1" applyFont="1" applyFill="1" applyBorder="1" applyAlignment="1">
      <alignment horizontal="center" vertical="center"/>
    </xf>
    <xf numFmtId="165" fontId="3" fillId="2" borderId="0" xfId="1" applyNumberFormat="1" applyFont="1" applyFill="1" applyAlignment="1">
      <alignment horizontal="center" vertical="center"/>
    </xf>
    <xf numFmtId="165" fontId="3" fillId="2" borderId="0" xfId="1" applyNumberFormat="1" applyFont="1" applyFill="1" applyBorder="1" applyAlignment="1">
      <alignment horizontal="center" vertical="center"/>
    </xf>
    <xf numFmtId="164" fontId="9" fillId="2" borderId="0" xfId="0" applyNumberFormat="1" applyFont="1" applyFill="1" applyAlignment="1">
      <alignment vertical="center"/>
    </xf>
    <xf numFmtId="17" fontId="3" fillId="2" borderId="1" xfId="0" applyNumberFormat="1" applyFont="1" applyFill="1" applyBorder="1" applyAlignment="1">
      <alignment horizontal="left" vertical="center"/>
    </xf>
    <xf numFmtId="17" fontId="3" fillId="2" borderId="6" xfId="0" applyNumberFormat="1" applyFont="1" applyFill="1" applyBorder="1" applyAlignment="1">
      <alignment horizontal="left" vertical="center"/>
    </xf>
    <xf numFmtId="0" fontId="0" fillId="2" borderId="0" xfId="0" applyNumberFormat="1" applyFill="1" applyBorder="1" applyAlignment="1">
      <alignment vertical="center"/>
    </xf>
    <xf numFmtId="0" fontId="0" fillId="2" borderId="0" xfId="0" applyNumberFormat="1" applyFill="1" applyAlignment="1">
      <alignment vertical="center"/>
    </xf>
    <xf numFmtId="0" fontId="3" fillId="2" borderId="0" xfId="0" applyFont="1" applyFill="1" applyAlignment="1">
      <alignment vertical="center"/>
    </xf>
    <xf numFmtId="49" fontId="3" fillId="2" borderId="0" xfId="0" applyNumberFormat="1" applyFont="1" applyFill="1" applyBorder="1" applyAlignment="1">
      <alignment horizontal="center" vertical="center"/>
    </xf>
    <xf numFmtId="9" fontId="3" fillId="2" borderId="0" xfId="7" applyFont="1" applyFill="1" applyAlignment="1">
      <alignment horizontal="center" vertical="center"/>
    </xf>
    <xf numFmtId="9" fontId="3" fillId="2" borderId="0" xfId="7" applyFont="1" applyFill="1" applyBorder="1" applyAlignment="1">
      <alignment horizontal="center" vertical="center"/>
    </xf>
    <xf numFmtId="0" fontId="3" fillId="2" borderId="0" xfId="6" applyFont="1" applyFill="1" applyBorder="1" applyAlignment="1"/>
    <xf numFmtId="0" fontId="0" fillId="2" borderId="0" xfId="0" applyFill="1"/>
    <xf numFmtId="0" fontId="3" fillId="2" borderId="0" xfId="0" applyFont="1" applyFill="1" applyAlignment="1">
      <alignment horizontal="center"/>
    </xf>
    <xf numFmtId="0" fontId="0" fillId="0" borderId="0" xfId="0" applyAlignment="1">
      <alignment vertical="center"/>
    </xf>
    <xf numFmtId="0" fontId="9" fillId="2" borderId="0" xfId="0" applyFont="1" applyFill="1"/>
    <xf numFmtId="0" fontId="3" fillId="2" borderId="0" xfId="0" applyFont="1" applyFill="1"/>
    <xf numFmtId="0" fontId="12" fillId="2" borderId="0" xfId="0" applyNumberFormat="1" applyFont="1" applyFill="1" applyBorder="1" applyAlignment="1">
      <alignment horizontal="center" vertical="center"/>
    </xf>
    <xf numFmtId="0" fontId="12" fillId="2" borderId="0" xfId="0" applyNumberFormat="1" applyFont="1" applyFill="1" applyAlignment="1">
      <alignment horizontal="center" vertical="center"/>
    </xf>
    <xf numFmtId="0" fontId="12" fillId="2" borderId="0" xfId="6" applyNumberFormat="1" applyFont="1" applyFill="1" applyBorder="1" applyAlignment="1">
      <alignment horizontal="center" vertical="center"/>
    </xf>
    <xf numFmtId="0" fontId="12" fillId="2" borderId="0" xfId="0" applyFont="1" applyFill="1" applyAlignment="1">
      <alignment vertical="center"/>
    </xf>
    <xf numFmtId="0" fontId="12" fillId="2" borderId="0" xfId="6" applyFont="1" applyFill="1" applyBorder="1" applyAlignment="1">
      <alignment vertical="center"/>
    </xf>
    <xf numFmtId="165" fontId="12" fillId="2" borderId="0" xfId="1" applyNumberFormat="1" applyFont="1" applyFill="1" applyBorder="1" applyAlignment="1">
      <alignment horizontal="center" vertical="center"/>
    </xf>
    <xf numFmtId="43" fontId="3" fillId="2" borderId="0" xfId="1" applyFont="1" applyFill="1" applyBorder="1" applyAlignment="1">
      <alignment horizontal="center" vertical="center"/>
    </xf>
    <xf numFmtId="165" fontId="3" fillId="2" borderId="0" xfId="1" quotePrefix="1" applyNumberFormat="1" applyFont="1" applyFill="1" applyBorder="1" applyAlignment="1">
      <alignment horizontal="left" vertical="center"/>
    </xf>
    <xf numFmtId="0" fontId="3" fillId="2" borderId="0" xfId="6" applyFont="1" applyFill="1" applyBorder="1" applyAlignment="1">
      <alignment horizontal="right" vertical="center"/>
    </xf>
    <xf numFmtId="0" fontId="3" fillId="2" borderId="2" xfId="6" applyFont="1" applyFill="1" applyBorder="1" applyAlignment="1">
      <alignment vertical="center"/>
    </xf>
    <xf numFmtId="0" fontId="9" fillId="2" borderId="0" xfId="6" applyFont="1" applyFill="1" applyBorder="1" applyAlignment="1"/>
    <xf numFmtId="0" fontId="9" fillId="2" borderId="0" xfId="0" applyFont="1" applyFill="1" applyAlignment="1">
      <alignment horizontal="center"/>
    </xf>
    <xf numFmtId="0" fontId="3" fillId="2" borderId="0" xfId="6" applyFont="1" applyFill="1" applyBorder="1" applyAlignment="1">
      <alignment horizontal="right"/>
    </xf>
    <xf numFmtId="0" fontId="3" fillId="2" borderId="0" xfId="0" applyFont="1" applyFill="1" applyAlignment="1">
      <alignment horizontal="right"/>
    </xf>
    <xf numFmtId="0" fontId="0" fillId="2" borderId="0" xfId="0" applyFill="1" applyAlignment="1">
      <alignment horizontal="right" vertical="center"/>
    </xf>
    <xf numFmtId="9" fontId="1" fillId="3" borderId="8" xfId="7" applyFont="1" applyFill="1" applyBorder="1" applyAlignment="1">
      <alignment vertical="center"/>
    </xf>
    <xf numFmtId="9" fontId="1" fillId="3" borderId="12" xfId="7" applyFont="1" applyFill="1" applyBorder="1" applyAlignment="1">
      <alignment vertical="center"/>
    </xf>
    <xf numFmtId="0" fontId="10" fillId="2" borderId="0" xfId="0" applyNumberFormat="1" applyFont="1" applyFill="1" applyBorder="1" applyAlignment="1">
      <alignment horizontal="left" vertical="center"/>
    </xf>
    <xf numFmtId="0" fontId="3" fillId="2" borderId="0" xfId="6" applyFont="1" applyFill="1" applyBorder="1" applyAlignment="1">
      <alignment horizontal="left"/>
    </xf>
    <xf numFmtId="0" fontId="9" fillId="2" borderId="0" xfId="0" applyFont="1" applyFill="1" applyAlignment="1">
      <alignment horizontal="right" vertical="center"/>
    </xf>
    <xf numFmtId="0" fontId="9" fillId="2" borderId="0" xfId="6" applyFont="1" applyFill="1" applyBorder="1" applyAlignment="1">
      <alignment horizontal="right"/>
    </xf>
    <xf numFmtId="9" fontId="9" fillId="3" borderId="13" xfId="7" applyFont="1" applyFill="1" applyBorder="1" applyAlignment="1">
      <alignment vertical="center"/>
    </xf>
    <xf numFmtId="168" fontId="3" fillId="2" borderId="7" xfId="0" applyNumberFormat="1" applyFont="1" applyFill="1" applyBorder="1" applyAlignment="1">
      <alignment horizontal="right" vertical="center"/>
    </xf>
    <xf numFmtId="168" fontId="3" fillId="2" borderId="8" xfId="0" applyNumberFormat="1" applyFont="1" applyFill="1" applyBorder="1" applyAlignment="1">
      <alignment horizontal="right" vertical="center"/>
    </xf>
    <xf numFmtId="168" fontId="0" fillId="2" borderId="7" xfId="0" applyNumberFormat="1" applyFill="1" applyBorder="1" applyAlignment="1">
      <alignment vertical="center"/>
    </xf>
    <xf numFmtId="168" fontId="0" fillId="2" borderId="8" xfId="0" applyNumberFormat="1" applyFill="1" applyBorder="1" applyAlignment="1">
      <alignment vertical="center"/>
    </xf>
    <xf numFmtId="168" fontId="0" fillId="3" borderId="7" xfId="0" applyNumberFormat="1" applyFill="1" applyBorder="1" applyAlignment="1">
      <alignment vertical="center"/>
    </xf>
    <xf numFmtId="168" fontId="9" fillId="2" borderId="15" xfId="0" applyNumberFormat="1" applyFont="1" applyFill="1" applyBorder="1" applyAlignment="1">
      <alignment vertical="center"/>
    </xf>
    <xf numFmtId="168" fontId="9" fillId="2" borderId="13" xfId="0" applyNumberFormat="1" applyFont="1" applyFill="1" applyBorder="1" applyAlignment="1">
      <alignment vertical="center"/>
    </xf>
    <xf numFmtId="168" fontId="9" fillId="3" borderId="15" xfId="0" applyNumberFormat="1" applyFont="1" applyFill="1" applyBorder="1" applyAlignment="1">
      <alignment vertical="center"/>
    </xf>
    <xf numFmtId="168" fontId="0" fillId="2" borderId="11" xfId="0" applyNumberFormat="1" applyFill="1" applyBorder="1" applyAlignment="1">
      <alignment vertical="center"/>
    </xf>
    <xf numFmtId="168" fontId="0" fillId="2" borderId="12" xfId="0" applyNumberFormat="1" applyFill="1" applyBorder="1" applyAlignment="1">
      <alignment vertical="center"/>
    </xf>
    <xf numFmtId="168" fontId="0" fillId="3" borderId="11" xfId="0" applyNumberFormat="1" applyFill="1" applyBorder="1" applyAlignment="1">
      <alignment vertical="center"/>
    </xf>
    <xf numFmtId="168" fontId="3" fillId="2" borderId="3" xfId="6" applyNumberFormat="1" applyFont="1" applyFill="1" applyBorder="1" applyAlignment="1">
      <alignment horizontal="right"/>
    </xf>
    <xf numFmtId="168" fontId="0" fillId="2" borderId="5" xfId="0" applyNumberFormat="1" applyFill="1" applyBorder="1" applyAlignment="1">
      <alignment vertical="center"/>
    </xf>
    <xf numFmtId="168" fontId="3" fillId="2" borderId="0" xfId="1" applyNumberFormat="1" applyFont="1" applyFill="1" applyBorder="1" applyAlignment="1">
      <alignment horizontal="center" vertical="center"/>
    </xf>
    <xf numFmtId="168" fontId="3" fillId="2" borderId="6" xfId="1" applyNumberFormat="1" applyFont="1" applyFill="1" applyBorder="1" applyAlignment="1">
      <alignment horizontal="center" vertical="center"/>
    </xf>
    <xf numFmtId="168" fontId="3" fillId="2" borderId="2" xfId="1" applyNumberFormat="1" applyFont="1" applyFill="1" applyBorder="1" applyAlignment="1">
      <alignment horizontal="center" vertical="center"/>
    </xf>
    <xf numFmtId="167" fontId="3" fillId="2" borderId="0" xfId="6" applyNumberFormat="1" applyFont="1" applyFill="1" applyBorder="1" applyAlignment="1">
      <alignment horizontal="center" vertical="center"/>
    </xf>
    <xf numFmtId="0" fontId="0" fillId="2" borderId="0" xfId="0" applyFill="1" applyBorder="1"/>
    <xf numFmtId="0" fontId="9" fillId="0" borderId="0" xfId="0" applyFont="1"/>
    <xf numFmtId="0" fontId="8" fillId="0" borderId="0" xfId="0" applyFont="1"/>
    <xf numFmtId="17" fontId="9" fillId="0" borderId="0" xfId="0" applyNumberFormat="1" applyFont="1" applyAlignment="1">
      <alignment horizontal="right"/>
    </xf>
    <xf numFmtId="168" fontId="1" fillId="4" borderId="18" xfId="0" applyNumberFormat="1" applyFont="1" applyFill="1" applyBorder="1"/>
    <xf numFmtId="168" fontId="0" fillId="0" borderId="0" xfId="0" applyNumberFormat="1"/>
    <xf numFmtId="168" fontId="9" fillId="2" borderId="19" xfId="0" applyNumberFormat="1" applyFont="1" applyFill="1" applyBorder="1" applyAlignment="1">
      <alignment vertical="center"/>
    </xf>
    <xf numFmtId="168" fontId="0" fillId="0" borderId="9" xfId="0" applyNumberFormat="1" applyBorder="1"/>
    <xf numFmtId="168" fontId="9" fillId="0" borderId="0" xfId="0" applyNumberFormat="1" applyFont="1"/>
    <xf numFmtId="0" fontId="14" fillId="0" borderId="0" xfId="0" applyFont="1" applyAlignment="1">
      <alignment horizontal="center"/>
    </xf>
    <xf numFmtId="17" fontId="1" fillId="0" borderId="0" xfId="0" applyNumberFormat="1" applyFont="1" applyAlignment="1">
      <alignment horizontal="left"/>
    </xf>
    <xf numFmtId="0" fontId="3" fillId="5" borderId="0" xfId="6" applyFont="1" applyFill="1" applyBorder="1" applyAlignment="1">
      <alignment vertical="center"/>
    </xf>
    <xf numFmtId="0" fontId="8" fillId="5" borderId="0" xfId="0" applyFont="1" applyFill="1" applyAlignment="1">
      <alignment vertical="center"/>
    </xf>
    <xf numFmtId="0" fontId="9" fillId="5" borderId="0" xfId="0" applyFont="1" applyFill="1" applyAlignment="1">
      <alignment vertical="center"/>
    </xf>
    <xf numFmtId="0" fontId="0" fillId="5" borderId="0" xfId="0" applyFill="1" applyAlignment="1">
      <alignment horizontal="right"/>
    </xf>
    <xf numFmtId="0" fontId="3" fillId="5" borderId="0" xfId="0" applyFont="1" applyFill="1"/>
    <xf numFmtId="0" fontId="9" fillId="5" borderId="0" xfId="0" applyFont="1" applyFill="1"/>
    <xf numFmtId="0" fontId="0" fillId="5" borderId="0" xfId="0" applyFill="1"/>
    <xf numFmtId="0" fontId="0" fillId="5" borderId="0" xfId="0" applyFill="1" applyAlignment="1">
      <alignment vertical="center"/>
    </xf>
    <xf numFmtId="0" fontId="14" fillId="0" borderId="0" xfId="0" applyFont="1" applyAlignment="1">
      <alignment horizontal="right"/>
    </xf>
    <xf numFmtId="0" fontId="1" fillId="2" borderId="0" xfId="0" applyFont="1" applyFill="1"/>
    <xf numFmtId="17" fontId="1" fillId="2" borderId="6" xfId="0" applyNumberFormat="1" applyFont="1" applyFill="1" applyBorder="1" applyAlignment="1">
      <alignment horizontal="left" vertical="center"/>
    </xf>
    <xf numFmtId="0" fontId="1" fillId="0" borderId="0" xfId="0" applyFont="1"/>
    <xf numFmtId="170" fontId="1" fillId="2" borderId="6" xfId="1" quotePrefix="1" applyNumberFormat="1" applyFont="1" applyFill="1" applyBorder="1" applyAlignment="1">
      <alignment horizontal="left" vertical="center"/>
    </xf>
    <xf numFmtId="0" fontId="16" fillId="5" borderId="0" xfId="6" applyFont="1" applyFill="1" applyBorder="1" applyAlignment="1">
      <alignment horizontal="center" vertical="center"/>
    </xf>
    <xf numFmtId="0" fontId="16" fillId="5" borderId="0" xfId="6" applyFont="1" applyFill="1" applyBorder="1" applyAlignment="1">
      <alignment vertical="center"/>
    </xf>
    <xf numFmtId="0" fontId="16" fillId="5" borderId="0" xfId="6" applyFont="1" applyFill="1" applyBorder="1" applyAlignment="1">
      <alignment horizontal="left" vertical="center"/>
    </xf>
    <xf numFmtId="0" fontId="16" fillId="5" borderId="0" xfId="6" applyFont="1" applyFill="1" applyBorder="1" applyAlignment="1"/>
    <xf numFmtId="0" fontId="16" fillId="5" borderId="0" xfId="0" applyFont="1" applyFill="1" applyAlignment="1">
      <alignment vertical="center"/>
    </xf>
    <xf numFmtId="0" fontId="16" fillId="5" borderId="0" xfId="6" applyFont="1" applyFill="1" applyBorder="1" applyAlignment="1">
      <alignment horizontal="right"/>
    </xf>
    <xf numFmtId="0" fontId="15" fillId="5" borderId="0" xfId="6" applyFont="1" applyFill="1" applyBorder="1" applyAlignment="1"/>
    <xf numFmtId="17" fontId="17" fillId="0" borderId="0" xfId="0" applyNumberFormat="1" applyFont="1" applyFill="1" applyAlignment="1">
      <alignment horizontal="left"/>
    </xf>
    <xf numFmtId="0" fontId="16" fillId="0" borderId="0" xfId="0" applyFont="1" applyFill="1" applyAlignment="1">
      <alignment vertical="center"/>
    </xf>
    <xf numFmtId="0" fontId="12" fillId="2" borderId="0" xfId="0" applyNumberFormat="1" applyFont="1" applyFill="1" applyBorder="1" applyAlignment="1">
      <alignment horizontal="left" vertical="center"/>
    </xf>
    <xf numFmtId="0" fontId="3" fillId="5" borderId="0" xfId="6" applyFont="1" applyFill="1" applyBorder="1" applyAlignment="1">
      <alignment horizontal="center" vertical="center"/>
    </xf>
    <xf numFmtId="17" fontId="1" fillId="2" borderId="2" xfId="0" applyNumberFormat="1" applyFont="1" applyFill="1" applyBorder="1" applyAlignment="1">
      <alignment horizontal="left" vertical="center"/>
    </xf>
    <xf numFmtId="0" fontId="18" fillId="2" borderId="0" xfId="6" applyFont="1" applyFill="1" applyBorder="1" applyAlignment="1"/>
    <xf numFmtId="0" fontId="19" fillId="2" borderId="0" xfId="6" applyFont="1" applyFill="1" applyBorder="1" applyAlignment="1">
      <alignment vertical="center"/>
    </xf>
    <xf numFmtId="0" fontId="20" fillId="2" borderId="0" xfId="6" applyFont="1" applyFill="1" applyBorder="1" applyAlignment="1">
      <alignment vertical="center"/>
    </xf>
    <xf numFmtId="0" fontId="21" fillId="2" borderId="0" xfId="6" applyFont="1" applyFill="1" applyBorder="1" applyAlignment="1">
      <alignment vertical="center"/>
    </xf>
    <xf numFmtId="168" fontId="3" fillId="0" borderId="7" xfId="0" applyNumberFormat="1" applyFont="1" applyFill="1" applyBorder="1" applyAlignment="1">
      <alignment horizontal="right" vertical="center"/>
    </xf>
    <xf numFmtId="0" fontId="3" fillId="0" borderId="8" xfId="0" applyFont="1" applyFill="1" applyBorder="1" applyAlignment="1">
      <alignment horizontal="right" vertical="center"/>
    </xf>
    <xf numFmtId="168" fontId="0" fillId="0" borderId="7" xfId="0" applyNumberFormat="1" applyFill="1" applyBorder="1" applyAlignment="1">
      <alignment vertical="center"/>
    </xf>
    <xf numFmtId="9" fontId="1" fillId="0" borderId="8" xfId="7" applyFont="1" applyFill="1" applyBorder="1" applyAlignment="1">
      <alignment vertical="center"/>
    </xf>
    <xf numFmtId="0" fontId="0" fillId="0" borderId="8" xfId="0" applyFill="1" applyBorder="1" applyAlignment="1">
      <alignment vertical="center"/>
    </xf>
    <xf numFmtId="168" fontId="0" fillId="0" borderId="3" xfId="0" applyNumberFormat="1" applyFill="1" applyBorder="1" applyAlignment="1">
      <alignment horizontal="right" vertical="center"/>
    </xf>
    <xf numFmtId="0" fontId="3" fillId="0" borderId="5" xfId="6" applyFont="1" applyFill="1" applyBorder="1" applyAlignment="1"/>
    <xf numFmtId="168" fontId="3" fillId="0" borderId="3" xfId="6" applyNumberFormat="1" applyFont="1" applyFill="1" applyBorder="1" applyAlignment="1">
      <alignment horizontal="right"/>
    </xf>
    <xf numFmtId="0" fontId="9" fillId="0" borderId="0" xfId="0" applyFont="1" applyAlignment="1">
      <alignment horizontal="right"/>
    </xf>
    <xf numFmtId="168" fontId="3" fillId="6" borderId="6" xfId="0" applyNumberFormat="1" applyFont="1" applyFill="1" applyBorder="1" applyAlignment="1">
      <alignment horizontal="right" vertical="center"/>
    </xf>
    <xf numFmtId="168" fontId="0" fillId="6" borderId="6" xfId="0" applyNumberFormat="1" applyFill="1" applyBorder="1" applyAlignment="1">
      <alignment vertical="center"/>
    </xf>
    <xf numFmtId="168" fontId="9" fillId="6" borderId="14" xfId="0" applyNumberFormat="1" applyFont="1" applyFill="1" applyBorder="1" applyAlignment="1">
      <alignment vertical="center"/>
    </xf>
    <xf numFmtId="168" fontId="9" fillId="6" borderId="6" xfId="0" applyNumberFormat="1" applyFont="1" applyFill="1" applyBorder="1" applyAlignment="1">
      <alignment vertical="center"/>
    </xf>
    <xf numFmtId="0" fontId="0" fillId="6" borderId="2" xfId="0" applyFill="1" applyBorder="1" applyAlignment="1">
      <alignment vertical="center"/>
    </xf>
    <xf numFmtId="17" fontId="3" fillId="6" borderId="11" xfId="0" applyNumberFormat="1" applyFont="1" applyFill="1" applyBorder="1" applyAlignment="1">
      <alignment horizontal="right" vertical="center"/>
    </xf>
    <xf numFmtId="17" fontId="3" fillId="6" borderId="12" xfId="0" applyNumberFormat="1" applyFont="1" applyFill="1" applyBorder="1" applyAlignment="1">
      <alignment horizontal="right" vertical="center"/>
    </xf>
    <xf numFmtId="0" fontId="3" fillId="6" borderId="3" xfId="0" applyFont="1" applyFill="1" applyBorder="1" applyAlignment="1">
      <alignment horizontal="right" vertical="center"/>
    </xf>
    <xf numFmtId="0" fontId="3" fillId="6" borderId="5" xfId="0" applyFont="1" applyFill="1" applyBorder="1" applyAlignment="1">
      <alignment horizontal="right" vertical="center"/>
    </xf>
    <xf numFmtId="0" fontId="3" fillId="6" borderId="11" xfId="0" applyFont="1" applyFill="1" applyBorder="1" applyAlignment="1">
      <alignment horizontal="right" vertical="center"/>
    </xf>
    <xf numFmtId="0" fontId="3" fillId="6" borderId="12" xfId="0" applyFont="1" applyFill="1" applyBorder="1" applyAlignment="1">
      <alignment horizontal="right" vertical="center"/>
    </xf>
    <xf numFmtId="168" fontId="9" fillId="0" borderId="24" xfId="0" applyNumberFormat="1" applyFont="1" applyBorder="1"/>
    <xf numFmtId="168" fontId="1" fillId="4" borderId="25" xfId="0" applyNumberFormat="1" applyFont="1" applyFill="1" applyBorder="1"/>
    <xf numFmtId="168" fontId="0" fillId="2" borderId="0" xfId="0" applyNumberFormat="1" applyFill="1" applyBorder="1" applyAlignment="1">
      <alignment vertical="center"/>
    </xf>
    <xf numFmtId="0" fontId="0" fillId="2" borderId="0" xfId="0" applyFill="1" applyBorder="1" applyAlignment="1">
      <alignment vertical="center"/>
    </xf>
    <xf numFmtId="0" fontId="0" fillId="2" borderId="0" xfId="0" applyFill="1" applyBorder="1" applyAlignment="1">
      <alignment horizontal="right" vertical="center"/>
    </xf>
    <xf numFmtId="0" fontId="1" fillId="5" borderId="0" xfId="0" applyFont="1" applyFill="1"/>
    <xf numFmtId="167" fontId="0" fillId="0" borderId="0" xfId="0" applyNumberFormat="1"/>
    <xf numFmtId="43" fontId="0" fillId="0" borderId="0" xfId="0" applyNumberFormat="1"/>
    <xf numFmtId="167" fontId="0" fillId="2" borderId="0" xfId="0" applyNumberFormat="1" applyFill="1" applyBorder="1" applyAlignment="1">
      <alignment vertical="center"/>
    </xf>
    <xf numFmtId="168" fontId="0" fillId="2" borderId="24" xfId="0" applyNumberFormat="1" applyFill="1" applyBorder="1" applyAlignment="1">
      <alignment vertical="center"/>
    </xf>
    <xf numFmtId="168" fontId="0" fillId="2" borderId="10" xfId="0" applyNumberFormat="1" applyFill="1" applyBorder="1" applyAlignment="1">
      <alignment vertical="center"/>
    </xf>
    <xf numFmtId="168" fontId="9" fillId="2" borderId="0" xfId="0" applyNumberFormat="1" applyFont="1" applyFill="1" applyBorder="1" applyAlignment="1">
      <alignment horizontal="right" vertical="center"/>
    </xf>
    <xf numFmtId="43" fontId="0" fillId="2" borderId="0" xfId="0" applyNumberFormat="1" applyFill="1" applyAlignment="1">
      <alignment horizontal="right" vertical="center"/>
    </xf>
    <xf numFmtId="0" fontId="0" fillId="0" borderId="0" xfId="0" applyFill="1"/>
    <xf numFmtId="17" fontId="0" fillId="0" borderId="0" xfId="0" applyNumberFormat="1"/>
    <xf numFmtId="166" fontId="0" fillId="0" borderId="0" xfId="2" applyNumberFormat="1" applyFont="1"/>
    <xf numFmtId="0" fontId="0" fillId="5" borderId="0" xfId="0" applyFill="1" applyBorder="1" applyAlignment="1">
      <alignment horizontal="left"/>
    </xf>
    <xf numFmtId="0" fontId="1" fillId="6" borderId="1" xfId="0" applyFont="1" applyFill="1" applyBorder="1" applyAlignment="1">
      <alignment horizontal="right" vertical="center"/>
    </xf>
    <xf numFmtId="17" fontId="9" fillId="0" borderId="0" xfId="0" applyNumberFormat="1" applyFont="1"/>
    <xf numFmtId="168" fontId="0" fillId="6" borderId="2" xfId="0" applyNumberFormat="1" applyFill="1" applyBorder="1" applyAlignment="1">
      <alignment vertical="center"/>
    </xf>
    <xf numFmtId="168" fontId="1" fillId="0" borderId="18" xfId="0" applyNumberFormat="1" applyFont="1" applyFill="1" applyBorder="1"/>
    <xf numFmtId="168" fontId="9" fillId="0" borderId="19" xfId="0" applyNumberFormat="1" applyFont="1" applyFill="1" applyBorder="1" applyAlignment="1">
      <alignment vertical="center"/>
    </xf>
    <xf numFmtId="0" fontId="9" fillId="0" borderId="0" xfId="0" applyFont="1" applyFill="1"/>
    <xf numFmtId="168" fontId="9" fillId="0" borderId="0" xfId="0" applyNumberFormat="1" applyFont="1" applyFill="1" applyBorder="1" applyAlignment="1">
      <alignment vertical="center"/>
    </xf>
    <xf numFmtId="168" fontId="0" fillId="0" borderId="0" xfId="0" applyNumberFormat="1" applyFill="1"/>
    <xf numFmtId="0" fontId="1" fillId="5" borderId="0" xfId="0" applyFont="1" applyFill="1" applyBorder="1" applyAlignment="1">
      <alignment horizontal="left"/>
    </xf>
    <xf numFmtId="0" fontId="9" fillId="5" borderId="0" xfId="0" applyFont="1" applyFill="1" applyBorder="1" applyAlignment="1">
      <alignment horizontal="left"/>
    </xf>
    <xf numFmtId="10" fontId="0" fillId="0" borderId="0" xfId="7" applyNumberFormat="1" applyFont="1"/>
    <xf numFmtId="10" fontId="9" fillId="5" borderId="0" xfId="7" applyNumberFormat="1" applyFont="1" applyFill="1" applyBorder="1" applyAlignment="1">
      <alignment horizontal="right"/>
    </xf>
    <xf numFmtId="166" fontId="9" fillId="5" borderId="0" xfId="2" applyNumberFormat="1" applyFont="1" applyFill="1" applyBorder="1" applyAlignment="1">
      <alignment horizontal="left"/>
    </xf>
    <xf numFmtId="166" fontId="0" fillId="5" borderId="0" xfId="2" applyNumberFormat="1" applyFont="1" applyFill="1" applyBorder="1" applyAlignment="1">
      <alignment horizontal="left"/>
    </xf>
    <xf numFmtId="166" fontId="0" fillId="2" borderId="0" xfId="2" applyNumberFormat="1" applyFont="1" applyFill="1" applyBorder="1" applyAlignment="1">
      <alignment vertical="center"/>
    </xf>
    <xf numFmtId="166" fontId="0" fillId="5" borderId="24" xfId="2" applyNumberFormat="1" applyFont="1" applyFill="1" applyBorder="1" applyAlignment="1">
      <alignment horizontal="left"/>
    </xf>
    <xf numFmtId="166" fontId="9" fillId="0" borderId="0" xfId="2" applyNumberFormat="1" applyFont="1"/>
    <xf numFmtId="164" fontId="9" fillId="2" borderId="11" xfId="0" applyNumberFormat="1" applyFont="1" applyFill="1" applyBorder="1" applyAlignment="1">
      <alignment horizontal="right" vertical="center"/>
    </xf>
    <xf numFmtId="164" fontId="9" fillId="2" borderId="9" xfId="0" applyNumberFormat="1" applyFont="1" applyFill="1" applyBorder="1" applyAlignment="1">
      <alignment horizontal="right" vertical="center"/>
    </xf>
    <xf numFmtId="164" fontId="9" fillId="2" borderId="12" xfId="0" applyNumberFormat="1" applyFont="1" applyFill="1" applyBorder="1" applyAlignment="1">
      <alignment horizontal="right" vertical="center"/>
    </xf>
    <xf numFmtId="0" fontId="0" fillId="4" borderId="0" xfId="0" applyFill="1"/>
    <xf numFmtId="167" fontId="3" fillId="4" borderId="2" xfId="1" applyNumberFormat="1" applyFont="1" applyFill="1" applyBorder="1" applyAlignment="1">
      <alignment horizontal="center" vertical="center"/>
    </xf>
    <xf numFmtId="17" fontId="9" fillId="5" borderId="0" xfId="0" applyNumberFormat="1" applyFont="1" applyFill="1" applyAlignment="1">
      <alignment horizontal="right" vertical="center"/>
    </xf>
    <xf numFmtId="17" fontId="1" fillId="5" borderId="1" xfId="0" applyNumberFormat="1" applyFont="1" applyFill="1" applyBorder="1" applyAlignment="1">
      <alignment horizontal="center" vertical="center"/>
    </xf>
    <xf numFmtId="0" fontId="0" fillId="5" borderId="0" xfId="0" applyFill="1" applyAlignment="1">
      <alignment horizontal="center" vertical="center"/>
    </xf>
    <xf numFmtId="167" fontId="3" fillId="5" borderId="2" xfId="1" applyNumberFormat="1" applyFont="1" applyFill="1" applyBorder="1" applyAlignment="1">
      <alignment horizontal="center" vertical="center"/>
    </xf>
    <xf numFmtId="43" fontId="3" fillId="5" borderId="0" xfId="1" applyFont="1" applyFill="1" applyBorder="1" applyAlignment="1">
      <alignment horizontal="center" vertical="center"/>
    </xf>
    <xf numFmtId="0" fontId="7" fillId="5" borderId="0" xfId="6" applyFont="1" applyFill="1" applyBorder="1" applyAlignment="1">
      <alignment horizontal="center" vertical="center"/>
    </xf>
    <xf numFmtId="0" fontId="9" fillId="5" borderId="0" xfId="0" applyFont="1" applyFill="1" applyAlignment="1">
      <alignment horizontal="right"/>
    </xf>
    <xf numFmtId="0" fontId="6" fillId="5" borderId="0" xfId="6" applyFont="1" applyFill="1" applyBorder="1" applyAlignment="1">
      <alignment vertical="center"/>
    </xf>
    <xf numFmtId="0" fontId="3" fillId="5" borderId="0" xfId="6" applyFont="1" applyFill="1" applyBorder="1" applyAlignment="1">
      <alignment horizontal="left" vertical="center" wrapText="1"/>
    </xf>
    <xf numFmtId="0" fontId="4" fillId="5" borderId="0" xfId="6" applyFont="1" applyFill="1" applyBorder="1" applyAlignment="1">
      <alignment horizontal="left" vertical="center"/>
    </xf>
    <xf numFmtId="17" fontId="9" fillId="5" borderId="0" xfId="0" applyNumberFormat="1" applyFont="1" applyFill="1"/>
    <xf numFmtId="168" fontId="3" fillId="0" borderId="0" xfId="0" applyNumberFormat="1" applyFont="1" applyFill="1" applyBorder="1" applyAlignment="1">
      <alignment horizontal="right" vertical="center"/>
    </xf>
    <xf numFmtId="168" fontId="0" fillId="3" borderId="0" xfId="0" applyNumberFormat="1" applyFill="1" applyBorder="1" applyAlignment="1">
      <alignment vertical="center"/>
    </xf>
    <xf numFmtId="168" fontId="0" fillId="0" borderId="0" xfId="0" applyNumberFormat="1" applyFill="1" applyBorder="1" applyAlignment="1">
      <alignment vertical="center"/>
    </xf>
    <xf numFmtId="168" fontId="3" fillId="2" borderId="11" xfId="0" applyNumberFormat="1" applyFont="1" applyFill="1" applyBorder="1" applyAlignment="1">
      <alignment horizontal="right" vertical="center"/>
    </xf>
    <xf numFmtId="168" fontId="3" fillId="2" borderId="12" xfId="0" applyNumberFormat="1" applyFont="1" applyFill="1" applyBorder="1" applyAlignment="1">
      <alignment horizontal="right" vertical="center"/>
    </xf>
    <xf numFmtId="0" fontId="0" fillId="5" borderId="0" xfId="0" applyFill="1" applyBorder="1" applyAlignment="1">
      <alignment horizontal="left"/>
    </xf>
    <xf numFmtId="168" fontId="9" fillId="2" borderId="11" xfId="0" applyNumberFormat="1" applyFont="1" applyFill="1" applyBorder="1" applyAlignment="1">
      <alignment vertical="center"/>
    </xf>
    <xf numFmtId="168" fontId="9" fillId="2" borderId="12" xfId="0" applyNumberFormat="1" applyFont="1" applyFill="1" applyBorder="1" applyAlignment="1">
      <alignment vertical="center"/>
    </xf>
    <xf numFmtId="168" fontId="9" fillId="3" borderId="11" xfId="0" applyNumberFormat="1" applyFont="1" applyFill="1" applyBorder="1" applyAlignment="1">
      <alignment vertical="center"/>
    </xf>
    <xf numFmtId="9" fontId="9" fillId="3" borderId="12" xfId="7" applyFont="1" applyFill="1" applyBorder="1" applyAlignment="1">
      <alignment vertical="center"/>
    </xf>
    <xf numFmtId="168" fontId="0" fillId="5" borderId="0" xfId="0" applyNumberFormat="1" applyFill="1" applyBorder="1" applyAlignment="1">
      <alignment vertical="center"/>
    </xf>
    <xf numFmtId="0" fontId="10" fillId="5" borderId="0" xfId="0" applyNumberFormat="1" applyFont="1" applyFill="1" applyBorder="1" applyAlignment="1">
      <alignment horizontal="left" vertical="center"/>
    </xf>
    <xf numFmtId="0" fontId="3" fillId="5" borderId="0" xfId="6" applyFont="1" applyFill="1" applyBorder="1" applyAlignment="1">
      <alignment horizontal="right"/>
    </xf>
    <xf numFmtId="167" fontId="1" fillId="4" borderId="18" xfId="0" applyNumberFormat="1" applyFont="1" applyFill="1" applyBorder="1"/>
    <xf numFmtId="2" fontId="0" fillId="2" borderId="0" xfId="0" applyNumberFormat="1" applyFill="1" applyAlignment="1">
      <alignment vertical="center"/>
    </xf>
    <xf numFmtId="166" fontId="1" fillId="0" borderId="0" xfId="2" applyNumberFormat="1" applyFont="1"/>
    <xf numFmtId="0" fontId="9" fillId="5" borderId="11" xfId="0" applyFont="1" applyFill="1" applyBorder="1"/>
    <xf numFmtId="0" fontId="0" fillId="5" borderId="9" xfId="0" applyFill="1" applyBorder="1"/>
    <xf numFmtId="0" fontId="0" fillId="5" borderId="7" xfId="0" applyFill="1" applyBorder="1"/>
    <xf numFmtId="0" fontId="0" fillId="5" borderId="0" xfId="0" applyFill="1" applyBorder="1"/>
    <xf numFmtId="0" fontId="9" fillId="5" borderId="0" xfId="0" applyFont="1" applyFill="1" applyBorder="1" applyAlignment="1">
      <alignment horizontal="right"/>
    </xf>
    <xf numFmtId="0" fontId="9" fillId="5" borderId="8" xfId="0" applyFont="1" applyFill="1" applyBorder="1" applyAlignment="1">
      <alignment horizontal="right"/>
    </xf>
    <xf numFmtId="0" fontId="1" fillId="5" borderId="7" xfId="0" applyFont="1" applyFill="1" applyBorder="1"/>
    <xf numFmtId="166" fontId="0" fillId="5" borderId="0" xfId="2" applyNumberFormat="1" applyFont="1" applyFill="1" applyBorder="1"/>
    <xf numFmtId="166" fontId="0" fillId="5" borderId="8" xfId="2" applyNumberFormat="1" applyFont="1" applyFill="1" applyBorder="1"/>
    <xf numFmtId="0" fontId="0" fillId="5" borderId="8" xfId="0" applyFill="1" applyBorder="1"/>
    <xf numFmtId="10" fontId="0" fillId="5" borderId="0" xfId="0" applyNumberFormat="1" applyFill="1" applyBorder="1"/>
    <xf numFmtId="0" fontId="1" fillId="5" borderId="3" xfId="0" applyFont="1" applyFill="1" applyBorder="1"/>
    <xf numFmtId="0" fontId="0" fillId="5" borderId="4" xfId="0" applyFill="1" applyBorder="1"/>
    <xf numFmtId="166" fontId="0" fillId="5" borderId="4" xfId="2" applyNumberFormat="1" applyFont="1" applyFill="1" applyBorder="1"/>
    <xf numFmtId="0" fontId="0" fillId="5" borderId="5" xfId="0" applyFill="1" applyBorder="1"/>
    <xf numFmtId="0" fontId="1" fillId="5" borderId="0" xfId="0" applyFont="1" applyFill="1" applyBorder="1"/>
    <xf numFmtId="0" fontId="0" fillId="5" borderId="3" xfId="0" applyFill="1" applyBorder="1"/>
    <xf numFmtId="10" fontId="0" fillId="0" borderId="0" xfId="0" applyNumberFormat="1"/>
    <xf numFmtId="0" fontId="9" fillId="5" borderId="7" xfId="0" applyFont="1" applyFill="1" applyBorder="1"/>
    <xf numFmtId="17" fontId="9" fillId="5" borderId="0" xfId="0" applyNumberFormat="1" applyFont="1" applyFill="1" applyBorder="1" applyAlignment="1">
      <alignment horizontal="center"/>
    </xf>
    <xf numFmtId="0" fontId="9" fillId="5" borderId="0" xfId="0" applyFont="1" applyFill="1" applyBorder="1" applyAlignment="1">
      <alignment horizontal="center"/>
    </xf>
    <xf numFmtId="0" fontId="9" fillId="5" borderId="8" xfId="0" applyFont="1" applyFill="1" applyBorder="1" applyAlignment="1">
      <alignment horizontal="center"/>
    </xf>
    <xf numFmtId="17" fontId="9" fillId="5" borderId="12" xfId="0" applyNumberFormat="1" applyFont="1" applyFill="1" applyBorder="1"/>
    <xf numFmtId="17" fontId="9" fillId="5" borderId="8" xfId="0" applyNumberFormat="1" applyFont="1" applyFill="1" applyBorder="1"/>
    <xf numFmtId="2" fontId="0" fillId="5" borderId="5" xfId="0" applyNumberFormat="1" applyFill="1" applyBorder="1"/>
    <xf numFmtId="166" fontId="9" fillId="5" borderId="0" xfId="2" applyNumberFormat="1" applyFont="1" applyFill="1" applyBorder="1"/>
    <xf numFmtId="166" fontId="9" fillId="5" borderId="8" xfId="2" applyNumberFormat="1" applyFont="1" applyFill="1" applyBorder="1"/>
    <xf numFmtId="0" fontId="9" fillId="2" borderId="0" xfId="0" quotePrefix="1" applyFont="1" applyFill="1"/>
    <xf numFmtId="0" fontId="9" fillId="4" borderId="0" xfId="0" applyFont="1" applyFill="1" applyAlignment="1">
      <alignment vertical="center"/>
    </xf>
    <xf numFmtId="0" fontId="3" fillId="4" borderId="0" xfId="6" applyFont="1" applyFill="1" applyBorder="1" applyAlignment="1">
      <alignment vertical="center"/>
    </xf>
    <xf numFmtId="0" fontId="0" fillId="4" borderId="0" xfId="0" applyFill="1" applyAlignment="1">
      <alignment vertical="center"/>
    </xf>
    <xf numFmtId="164" fontId="9" fillId="4" borderId="0" xfId="0" applyNumberFormat="1" applyFont="1" applyFill="1" applyAlignment="1">
      <alignment vertical="center"/>
    </xf>
    <xf numFmtId="0" fontId="24" fillId="2" borderId="0" xfId="0" applyFont="1" applyFill="1"/>
    <xf numFmtId="0" fontId="9" fillId="5" borderId="0" xfId="0" applyFont="1" applyFill="1" applyAlignment="1">
      <alignment horizontal="left"/>
    </xf>
    <xf numFmtId="0" fontId="9" fillId="5" borderId="9" xfId="0" applyFont="1" applyFill="1" applyBorder="1" applyAlignment="1">
      <alignment horizontal="center"/>
    </xf>
    <xf numFmtId="168" fontId="26" fillId="0" borderId="0" xfId="0" applyNumberFormat="1" applyFont="1" applyFill="1" applyAlignment="1">
      <alignment horizontal="center"/>
    </xf>
    <xf numFmtId="168" fontId="0" fillId="0" borderId="24" xfId="0" applyNumberFormat="1" applyBorder="1"/>
    <xf numFmtId="168" fontId="0" fillId="0" borderId="0" xfId="0" applyNumberFormat="1" applyBorder="1"/>
    <xf numFmtId="168" fontId="25" fillId="0" borderId="0" xfId="0" applyNumberFormat="1" applyFont="1" applyBorder="1" applyAlignment="1">
      <alignment horizontal="right"/>
    </xf>
    <xf numFmtId="0" fontId="1" fillId="2" borderId="0" xfId="6" applyFont="1" applyFill="1" applyBorder="1" applyAlignment="1"/>
    <xf numFmtId="167" fontId="9" fillId="2" borderId="0" xfId="0" applyNumberFormat="1" applyFont="1" applyFill="1" applyBorder="1" applyAlignment="1">
      <alignment horizontal="right" vertical="center"/>
    </xf>
    <xf numFmtId="2" fontId="9" fillId="2" borderId="0" xfId="0" applyNumberFormat="1" applyFont="1" applyFill="1" applyAlignment="1">
      <alignment horizontal="right" vertical="center"/>
    </xf>
    <xf numFmtId="10" fontId="25" fillId="0" borderId="0" xfId="7" applyNumberFormat="1" applyFont="1" applyBorder="1" applyAlignment="1">
      <alignment horizontal="right"/>
    </xf>
    <xf numFmtId="10" fontId="0" fillId="2" borderId="0" xfId="7" applyNumberFormat="1" applyFont="1" applyFill="1" applyBorder="1" applyAlignment="1">
      <alignment vertical="center"/>
    </xf>
    <xf numFmtId="10" fontId="3" fillId="2" borderId="0" xfId="6" applyNumberFormat="1" applyFont="1" applyFill="1" applyBorder="1" applyAlignment="1"/>
    <xf numFmtId="10" fontId="0" fillId="2" borderId="0" xfId="7" applyNumberFormat="1" applyFont="1" applyFill="1" applyAlignment="1">
      <alignment vertical="center"/>
    </xf>
    <xf numFmtId="168" fontId="0" fillId="0" borderId="19" xfId="0" applyNumberFormat="1" applyBorder="1"/>
    <xf numFmtId="43" fontId="1" fillId="2" borderId="0" xfId="0" applyNumberFormat="1" applyFont="1" applyFill="1" applyAlignment="1">
      <alignment horizontal="right" vertical="center"/>
    </xf>
    <xf numFmtId="17" fontId="3" fillId="2" borderId="6" xfId="0" applyNumberFormat="1" applyFont="1" applyFill="1" applyBorder="1" applyAlignment="1">
      <alignment horizontal="center" vertical="center"/>
    </xf>
    <xf numFmtId="17" fontId="1" fillId="5" borderId="6" xfId="0" applyNumberFormat="1" applyFont="1" applyFill="1" applyBorder="1" applyAlignment="1">
      <alignment horizontal="center" vertical="center"/>
    </xf>
    <xf numFmtId="168" fontId="9" fillId="0" borderId="0" xfId="0" applyNumberFormat="1" applyFont="1" applyBorder="1"/>
    <xf numFmtId="168" fontId="9" fillId="2" borderId="0" xfId="0" applyNumberFormat="1" applyFont="1" applyFill="1" applyBorder="1" applyAlignment="1">
      <alignment vertical="center"/>
    </xf>
    <xf numFmtId="10" fontId="1" fillId="4" borderId="18" xfId="7" applyNumberFormat="1" applyFont="1" applyFill="1" applyBorder="1"/>
    <xf numFmtId="168" fontId="1" fillId="0" borderId="0" xfId="0" applyNumberFormat="1" applyFont="1"/>
    <xf numFmtId="168" fontId="9" fillId="0" borderId="0" xfId="0" applyNumberFormat="1" applyFont="1" applyAlignment="1">
      <alignment horizontal="right"/>
    </xf>
    <xf numFmtId="167" fontId="1" fillId="0" borderId="0" xfId="0" applyNumberFormat="1" applyFont="1"/>
    <xf numFmtId="168" fontId="1" fillId="4" borderId="35" xfId="0" applyNumberFormat="1" applyFont="1" applyFill="1" applyBorder="1"/>
    <xf numFmtId="168" fontId="1" fillId="0" borderId="0" xfId="0" applyNumberFormat="1" applyFont="1" applyFill="1" applyBorder="1"/>
    <xf numFmtId="168" fontId="1" fillId="0" borderId="0" xfId="0" applyNumberFormat="1" applyFont="1" applyFill="1" applyBorder="1" applyAlignment="1">
      <alignment vertical="center"/>
    </xf>
    <xf numFmtId="166" fontId="9" fillId="2" borderId="24" xfId="6" applyNumberFormat="1" applyFont="1" applyFill="1" applyBorder="1" applyAlignment="1"/>
    <xf numFmtId="166" fontId="1" fillId="5" borderId="0" xfId="2" applyNumberFormat="1" applyFont="1" applyFill="1" applyBorder="1" applyAlignment="1">
      <alignment horizontal="left"/>
    </xf>
    <xf numFmtId="168" fontId="1" fillId="4" borderId="0" xfId="0" applyNumberFormat="1" applyFont="1" applyFill="1" applyBorder="1" applyAlignment="1">
      <alignment horizontal="left"/>
    </xf>
    <xf numFmtId="168" fontId="9" fillId="2" borderId="16" xfId="0" applyNumberFormat="1" applyFont="1" applyFill="1" applyBorder="1" applyAlignment="1">
      <alignment vertical="center"/>
    </xf>
    <xf numFmtId="168" fontId="9" fillId="2" borderId="17" xfId="0" applyNumberFormat="1" applyFont="1" applyFill="1" applyBorder="1" applyAlignment="1">
      <alignment vertical="center"/>
    </xf>
    <xf numFmtId="168" fontId="9" fillId="3" borderId="10" xfId="0" applyNumberFormat="1" applyFont="1" applyFill="1" applyBorder="1" applyAlignment="1">
      <alignment vertical="center"/>
    </xf>
    <xf numFmtId="9" fontId="9" fillId="3" borderId="17" xfId="7" applyFont="1" applyFill="1" applyBorder="1" applyAlignment="1">
      <alignment vertical="center"/>
    </xf>
    <xf numFmtId="168" fontId="9" fillId="3" borderId="16" xfId="0" applyNumberFormat="1" applyFont="1" applyFill="1" applyBorder="1" applyAlignment="1">
      <alignment vertical="center"/>
    </xf>
    <xf numFmtId="168" fontId="9" fillId="6" borderId="36" xfId="0" applyNumberFormat="1" applyFont="1" applyFill="1" applyBorder="1" applyAlignment="1">
      <alignment vertical="center"/>
    </xf>
    <xf numFmtId="168" fontId="0" fillId="3" borderId="9" xfId="0" applyNumberFormat="1" applyFill="1" applyBorder="1" applyAlignment="1">
      <alignment vertical="center"/>
    </xf>
    <xf numFmtId="168" fontId="0" fillId="2" borderId="3" xfId="0" applyNumberFormat="1" applyFill="1" applyBorder="1" applyAlignment="1">
      <alignment vertical="center"/>
    </xf>
    <xf numFmtId="168" fontId="0" fillId="5" borderId="5" xfId="0" applyNumberFormat="1" applyFill="1" applyBorder="1" applyAlignment="1">
      <alignment vertical="center"/>
    </xf>
    <xf numFmtId="168" fontId="0" fillId="5" borderId="4" xfId="0" applyNumberFormat="1" applyFill="1" applyBorder="1" applyAlignment="1">
      <alignment vertical="center"/>
    </xf>
    <xf numFmtId="9" fontId="1" fillId="5" borderId="5" xfId="7" applyFont="1" applyFill="1" applyBorder="1" applyAlignment="1">
      <alignment vertical="center"/>
    </xf>
    <xf numFmtId="168" fontId="0" fillId="5" borderId="3" xfId="0" applyNumberFormat="1" applyFill="1" applyBorder="1" applyAlignment="1">
      <alignment vertical="center"/>
    </xf>
    <xf numFmtId="168" fontId="0" fillId="6" borderId="1" xfId="0" applyNumberFormat="1" applyFill="1" applyBorder="1" applyAlignment="1">
      <alignment vertical="center"/>
    </xf>
    <xf numFmtId="0" fontId="0" fillId="5" borderId="0" xfId="0" applyFill="1" applyBorder="1" applyAlignment="1">
      <alignment vertical="center"/>
    </xf>
    <xf numFmtId="0" fontId="25" fillId="6" borderId="2" xfId="0" applyFont="1" applyFill="1" applyBorder="1" applyAlignment="1">
      <alignment horizontal="right" vertical="center"/>
    </xf>
    <xf numFmtId="0" fontId="24" fillId="5" borderId="0" xfId="0" applyFont="1" applyFill="1"/>
    <xf numFmtId="0" fontId="9" fillId="5" borderId="0" xfId="0" applyFont="1" applyFill="1" applyBorder="1"/>
    <xf numFmtId="17" fontId="9" fillId="5" borderId="0" xfId="0" applyNumberFormat="1" applyFont="1" applyFill="1" applyBorder="1"/>
    <xf numFmtId="17" fontId="9" fillId="5" borderId="0" xfId="0" applyNumberFormat="1" applyFont="1" applyFill="1" applyBorder="1" applyAlignment="1">
      <alignment horizontal="center"/>
    </xf>
    <xf numFmtId="0" fontId="9" fillId="5" borderId="0" xfId="0" applyFont="1" applyFill="1" applyBorder="1" applyAlignment="1">
      <alignment horizontal="center"/>
    </xf>
    <xf numFmtId="2" fontId="0" fillId="5" borderId="0" xfId="0" applyNumberFormat="1" applyFill="1" applyBorder="1"/>
    <xf numFmtId="17" fontId="1" fillId="0" borderId="0" xfId="0" applyNumberFormat="1" applyFont="1" applyAlignment="1">
      <alignment horizontal="right"/>
    </xf>
    <xf numFmtId="0" fontId="0" fillId="5" borderId="11" xfId="0" applyFill="1" applyBorder="1"/>
    <xf numFmtId="0" fontId="0" fillId="5" borderId="12" xfId="0" applyFill="1" applyBorder="1"/>
    <xf numFmtId="168" fontId="1" fillId="4" borderId="0" xfId="0" applyNumberFormat="1" applyFont="1" applyFill="1" applyBorder="1"/>
    <xf numFmtId="168" fontId="1" fillId="4" borderId="7" xfId="0" applyNumberFormat="1" applyFont="1" applyFill="1" applyBorder="1"/>
    <xf numFmtId="168" fontId="1" fillId="4" borderId="8" xfId="0" applyNumberFormat="1" applyFont="1" applyFill="1" applyBorder="1"/>
    <xf numFmtId="168" fontId="1" fillId="4" borderId="3" xfId="0" applyNumberFormat="1" applyFont="1" applyFill="1" applyBorder="1"/>
    <xf numFmtId="168" fontId="1" fillId="4" borderId="4" xfId="0" applyNumberFormat="1" applyFont="1" applyFill="1" applyBorder="1"/>
    <xf numFmtId="168" fontId="1" fillId="4" borderId="5" xfId="0" applyNumberFormat="1" applyFont="1" applyFill="1" applyBorder="1"/>
    <xf numFmtId="168" fontId="1" fillId="0" borderId="7" xfId="0" applyNumberFormat="1" applyFont="1" applyFill="1" applyBorder="1"/>
    <xf numFmtId="168" fontId="1" fillId="0" borderId="8" xfId="0" applyNumberFormat="1" applyFont="1" applyFill="1" applyBorder="1"/>
    <xf numFmtId="0" fontId="3" fillId="2" borderId="0" xfId="0" applyFont="1" applyFill="1" applyBorder="1" applyAlignment="1">
      <alignment horizontal="center" vertical="center"/>
    </xf>
    <xf numFmtId="0" fontId="1" fillId="2" borderId="2" xfId="6" applyFont="1" applyFill="1" applyBorder="1" applyAlignment="1">
      <alignment horizontal="left" vertical="center"/>
    </xf>
    <xf numFmtId="168" fontId="1" fillId="0" borderId="3" xfId="0" applyNumberFormat="1" applyFont="1" applyFill="1" applyBorder="1"/>
    <xf numFmtId="168" fontId="1" fillId="0" borderId="4" xfId="0" applyNumberFormat="1" applyFont="1" applyFill="1" applyBorder="1"/>
    <xf numFmtId="168" fontId="1" fillId="0" borderId="5" xfId="0" applyNumberFormat="1" applyFont="1" applyFill="1" applyBorder="1"/>
    <xf numFmtId="0" fontId="1" fillId="4" borderId="0" xfId="0" applyFont="1" applyFill="1"/>
    <xf numFmtId="168" fontId="0" fillId="4" borderId="0" xfId="0" applyNumberFormat="1" applyFill="1"/>
    <xf numFmtId="168" fontId="0" fillId="4" borderId="0" xfId="0" applyNumberFormat="1" applyFill="1" applyBorder="1"/>
    <xf numFmtId="0" fontId="0" fillId="0" borderId="0" xfId="0" applyBorder="1"/>
    <xf numFmtId="168" fontId="0" fillId="0" borderId="10" xfId="0" applyNumberFormat="1" applyBorder="1"/>
    <xf numFmtId="0" fontId="1" fillId="0" borderId="0" xfId="0" applyFont="1" applyAlignment="1">
      <alignment horizontal="right"/>
    </xf>
    <xf numFmtId="17" fontId="1" fillId="5" borderId="0" xfId="0" applyNumberFormat="1" applyFont="1" applyFill="1" applyAlignment="1">
      <alignment horizontal="left"/>
    </xf>
    <xf numFmtId="17" fontId="17" fillId="5" borderId="0" xfId="0" applyNumberFormat="1" applyFont="1" applyFill="1" applyAlignment="1">
      <alignment horizontal="left"/>
    </xf>
    <xf numFmtId="0" fontId="1" fillId="5" borderId="0" xfId="0" applyFont="1" applyFill="1" applyAlignment="1">
      <alignment vertical="center"/>
    </xf>
    <xf numFmtId="0" fontId="1" fillId="5" borderId="0" xfId="0" applyFont="1" applyFill="1" applyAlignment="1">
      <alignment horizontal="right" vertical="center"/>
    </xf>
    <xf numFmtId="0" fontId="0" fillId="5" borderId="0" xfId="0" applyFill="1" applyAlignment="1">
      <alignment horizontal="right" vertical="center"/>
    </xf>
    <xf numFmtId="0" fontId="9" fillId="5" borderId="0" xfId="0" applyFont="1" applyFill="1" applyAlignment="1">
      <alignment horizontal="center" vertical="center"/>
    </xf>
    <xf numFmtId="0" fontId="1" fillId="0" borderId="0" xfId="0" applyFont="1" applyFill="1"/>
    <xf numFmtId="0" fontId="9" fillId="5" borderId="0" xfId="0" applyFont="1" applyFill="1" applyAlignment="1">
      <alignment horizontal="right" vertical="center"/>
    </xf>
    <xf numFmtId="0" fontId="0" fillId="5" borderId="10" xfId="0" applyFill="1" applyBorder="1" applyAlignment="1">
      <alignment vertical="center"/>
    </xf>
    <xf numFmtId="166" fontId="9" fillId="5" borderId="34" xfId="2" applyNumberFormat="1" applyFont="1" applyFill="1" applyBorder="1"/>
    <xf numFmtId="0" fontId="27" fillId="5" borderId="0" xfId="0" applyFont="1" applyFill="1"/>
    <xf numFmtId="0" fontId="0" fillId="0" borderId="0" xfId="0" applyAlignment="1">
      <alignment horizontal="right"/>
    </xf>
    <xf numFmtId="0" fontId="0" fillId="0" borderId="0" xfId="0" applyFill="1" applyBorder="1" applyAlignment="1">
      <alignment horizontal="left" vertical="top" wrapText="1"/>
    </xf>
    <xf numFmtId="0" fontId="0" fillId="5" borderId="0" xfId="0" applyFill="1" applyBorder="1" applyAlignment="1">
      <alignment horizontal="left" vertical="top" wrapText="1"/>
    </xf>
    <xf numFmtId="1" fontId="0" fillId="0" borderId="0" xfId="0" applyNumberFormat="1"/>
    <xf numFmtId="168" fontId="1" fillId="0" borderId="0" xfId="0" quotePrefix="1" applyNumberFormat="1" applyFont="1"/>
    <xf numFmtId="10" fontId="1" fillId="4" borderId="0" xfId="7" applyNumberFormat="1" applyFont="1" applyFill="1" applyBorder="1"/>
    <xf numFmtId="10" fontId="1" fillId="4" borderId="7" xfId="7" applyNumberFormat="1" applyFont="1" applyFill="1" applyBorder="1"/>
    <xf numFmtId="9" fontId="3" fillId="2" borderId="6" xfId="7" applyFont="1" applyFill="1" applyBorder="1" applyAlignment="1">
      <alignment horizontal="left" vertical="center"/>
    </xf>
    <xf numFmtId="0" fontId="1" fillId="2" borderId="2" xfId="6" applyFont="1" applyFill="1" applyBorder="1" applyAlignment="1">
      <alignment vertical="center"/>
    </xf>
    <xf numFmtId="10" fontId="3" fillId="4" borderId="3" xfId="7" applyNumberFormat="1" applyFont="1" applyFill="1" applyBorder="1" applyAlignment="1">
      <alignment vertical="center"/>
    </xf>
    <xf numFmtId="10" fontId="3" fillId="4" borderId="4" xfId="7" applyNumberFormat="1" applyFont="1" applyFill="1" applyBorder="1" applyAlignment="1">
      <alignment vertical="center"/>
    </xf>
    <xf numFmtId="10" fontId="3" fillId="4" borderId="5" xfId="7" applyNumberFormat="1" applyFont="1" applyFill="1" applyBorder="1" applyAlignment="1">
      <alignment vertical="center"/>
    </xf>
    <xf numFmtId="9" fontId="1" fillId="2" borderId="6" xfId="7" applyFont="1" applyFill="1" applyBorder="1" applyAlignment="1">
      <alignment horizontal="left" vertical="center"/>
    </xf>
    <xf numFmtId="41" fontId="3" fillId="4" borderId="3" xfId="6" applyNumberFormat="1" applyFont="1" applyFill="1" applyBorder="1" applyAlignment="1">
      <alignment vertical="center"/>
    </xf>
    <xf numFmtId="41" fontId="3" fillId="4" borderId="4" xfId="6" applyNumberFormat="1" applyFont="1" applyFill="1" applyBorder="1" applyAlignment="1">
      <alignment vertical="center"/>
    </xf>
    <xf numFmtId="41" fontId="3" fillId="4" borderId="5" xfId="6" applyNumberFormat="1" applyFont="1" applyFill="1" applyBorder="1" applyAlignment="1">
      <alignment vertical="center"/>
    </xf>
    <xf numFmtId="0" fontId="0" fillId="5" borderId="0" xfId="0" applyFill="1" applyAlignment="1">
      <alignment wrapText="1"/>
    </xf>
    <xf numFmtId="0" fontId="0" fillId="5" borderId="0" xfId="0" applyFill="1" applyAlignment="1">
      <alignment wrapText="1"/>
    </xf>
    <xf numFmtId="0" fontId="28" fillId="5" borderId="0" xfId="0" applyFont="1" applyFill="1" applyAlignment="1">
      <alignment horizontal="left" vertical="top" wrapText="1"/>
    </xf>
    <xf numFmtId="0" fontId="28" fillId="0" borderId="0" xfId="0" applyFont="1" applyAlignment="1">
      <alignment horizontal="left" vertical="top" wrapText="1"/>
    </xf>
    <xf numFmtId="0" fontId="29" fillId="5" borderId="0" xfId="0" applyFont="1" applyFill="1" applyAlignment="1">
      <alignment horizontal="left" vertical="top" wrapText="1"/>
    </xf>
    <xf numFmtId="0" fontId="29" fillId="0" borderId="0" xfId="0" applyFont="1" applyAlignment="1">
      <alignment horizontal="left" vertical="top" wrapText="1"/>
    </xf>
    <xf numFmtId="0" fontId="1" fillId="4" borderId="20" xfId="0" applyFont="1" applyFill="1" applyBorder="1" applyAlignment="1">
      <alignment horizontal="left"/>
    </xf>
    <xf numFmtId="0" fontId="0" fillId="4" borderId="21" xfId="0" applyFill="1" applyBorder="1" applyAlignment="1">
      <alignment horizontal="left"/>
    </xf>
    <xf numFmtId="169" fontId="0" fillId="4" borderId="22" xfId="0" applyNumberFormat="1" applyFill="1" applyBorder="1" applyAlignment="1">
      <alignment horizontal="left"/>
    </xf>
    <xf numFmtId="169" fontId="0" fillId="4" borderId="23" xfId="0" applyNumberFormat="1" applyFill="1" applyBorder="1" applyAlignment="1">
      <alignment horizontal="left"/>
    </xf>
    <xf numFmtId="17" fontId="3" fillId="4" borderId="0" xfId="0" applyNumberFormat="1" applyFont="1" applyFill="1" applyBorder="1" applyAlignment="1">
      <alignment horizontal="left" vertical="center"/>
    </xf>
    <xf numFmtId="17" fontId="9" fillId="5" borderId="9" xfId="0" applyNumberFormat="1" applyFont="1" applyFill="1" applyBorder="1" applyAlignment="1">
      <alignment horizontal="center"/>
    </xf>
    <xf numFmtId="0" fontId="9" fillId="5" borderId="9" xfId="0" applyFont="1" applyFill="1" applyBorder="1" applyAlignment="1">
      <alignment horizontal="center"/>
    </xf>
    <xf numFmtId="0" fontId="9" fillId="5" borderId="12" xfId="0" applyFont="1" applyFill="1" applyBorder="1" applyAlignment="1">
      <alignment horizontal="center"/>
    </xf>
    <xf numFmtId="0" fontId="25" fillId="4" borderId="7" xfId="0" applyFont="1" applyFill="1" applyBorder="1" applyAlignment="1">
      <alignment horizontal="left" vertical="top" wrapText="1"/>
    </xf>
    <xf numFmtId="0" fontId="25" fillId="4" borderId="0" xfId="0" applyFont="1" applyFill="1" applyBorder="1" applyAlignment="1">
      <alignment horizontal="left" vertical="top" wrapText="1"/>
    </xf>
    <xf numFmtId="0" fontId="25" fillId="4" borderId="8" xfId="0" applyFont="1" applyFill="1" applyBorder="1" applyAlignment="1">
      <alignment horizontal="left" vertical="top" wrapText="1"/>
    </xf>
    <xf numFmtId="0" fontId="25" fillId="4" borderId="3" xfId="0" applyFont="1" applyFill="1" applyBorder="1" applyAlignment="1">
      <alignment horizontal="left" vertical="top" wrapText="1"/>
    </xf>
    <xf numFmtId="0" fontId="25" fillId="4" borderId="4" xfId="0" applyFont="1" applyFill="1" applyBorder="1" applyAlignment="1">
      <alignment horizontal="left" vertical="top" wrapText="1"/>
    </xf>
    <xf numFmtId="0" fontId="25" fillId="4" borderId="5" xfId="0" applyFont="1" applyFill="1" applyBorder="1" applyAlignment="1">
      <alignment horizontal="left" vertical="top" wrapText="1"/>
    </xf>
    <xf numFmtId="0" fontId="25" fillId="4" borderId="11" xfId="0" applyFont="1" applyFill="1" applyBorder="1" applyAlignment="1">
      <alignment horizontal="left" vertical="top" wrapText="1"/>
    </xf>
    <xf numFmtId="0" fontId="25" fillId="4" borderId="9" xfId="0" applyFont="1" applyFill="1" applyBorder="1" applyAlignment="1">
      <alignment horizontal="left" vertical="top" wrapText="1"/>
    </xf>
    <xf numFmtId="0" fontId="25" fillId="4" borderId="12" xfId="0" applyFont="1" applyFill="1" applyBorder="1" applyAlignment="1">
      <alignment horizontal="left" vertical="top" wrapText="1"/>
    </xf>
    <xf numFmtId="17" fontId="9" fillId="5" borderId="0" xfId="0" applyNumberFormat="1" applyFont="1" applyFill="1" applyBorder="1" applyAlignment="1">
      <alignment horizontal="center"/>
    </xf>
    <xf numFmtId="0" fontId="9" fillId="5" borderId="0" xfId="0" applyFont="1" applyFill="1" applyBorder="1" applyAlignment="1">
      <alignment horizontal="center"/>
    </xf>
    <xf numFmtId="0" fontId="0" fillId="4" borderId="11" xfId="0" applyFill="1" applyBorder="1" applyAlignment="1">
      <alignment horizontal="left" vertical="top" wrapText="1"/>
    </xf>
    <xf numFmtId="0" fontId="0" fillId="4" borderId="9" xfId="0" applyFill="1" applyBorder="1" applyAlignment="1">
      <alignment horizontal="left" vertical="top" wrapText="1"/>
    </xf>
    <xf numFmtId="0" fontId="0" fillId="4" borderId="12" xfId="0" applyFill="1" applyBorder="1" applyAlignment="1">
      <alignment horizontal="left" vertical="top" wrapText="1"/>
    </xf>
    <xf numFmtId="0" fontId="0" fillId="4" borderId="7" xfId="0" applyFill="1" applyBorder="1" applyAlignment="1">
      <alignment horizontal="left" vertical="top" wrapText="1"/>
    </xf>
    <xf numFmtId="0" fontId="0" fillId="4" borderId="0" xfId="0" applyFill="1" applyBorder="1" applyAlignment="1">
      <alignment horizontal="left" vertical="top" wrapText="1"/>
    </xf>
    <xf numFmtId="0" fontId="0" fillId="4" borderId="8"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1" fillId="4" borderId="11"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28" xfId="0" applyFont="1" applyFill="1" applyBorder="1" applyAlignment="1">
      <alignment horizontal="left" vertical="top" wrapText="1"/>
    </xf>
    <xf numFmtId="0" fontId="1" fillId="4" borderId="29"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30" xfId="0" applyFont="1" applyFill="1" applyBorder="1" applyAlignment="1">
      <alignment horizontal="left" vertical="top" wrapText="1"/>
    </xf>
    <xf numFmtId="0" fontId="1" fillId="4" borderId="31" xfId="0" applyFont="1" applyFill="1" applyBorder="1" applyAlignment="1">
      <alignment horizontal="left" vertical="top" wrapText="1"/>
    </xf>
    <xf numFmtId="0" fontId="1" fillId="4" borderId="32" xfId="0" applyFont="1" applyFill="1" applyBorder="1" applyAlignment="1">
      <alignment horizontal="left" vertical="top" wrapText="1"/>
    </xf>
    <xf numFmtId="0" fontId="1" fillId="4" borderId="33" xfId="0" applyFont="1" applyFill="1" applyBorder="1" applyAlignment="1">
      <alignment horizontal="left" vertical="top" wrapText="1"/>
    </xf>
    <xf numFmtId="0" fontId="9" fillId="5" borderId="0" xfId="0" applyFont="1" applyFill="1" applyAlignment="1">
      <alignment horizontal="center" vertical="center"/>
    </xf>
    <xf numFmtId="0" fontId="0" fillId="4" borderId="31" xfId="0" applyFill="1" applyBorder="1" applyAlignment="1">
      <alignment horizontal="left"/>
    </xf>
    <xf numFmtId="0" fontId="0" fillId="4" borderId="32" xfId="0" applyFill="1" applyBorder="1" applyAlignment="1">
      <alignment horizontal="left"/>
    </xf>
    <xf numFmtId="0" fontId="0" fillId="4" borderId="33" xfId="0" applyFill="1" applyBorder="1" applyAlignment="1">
      <alignment horizontal="left"/>
    </xf>
    <xf numFmtId="0" fontId="0" fillId="4" borderId="29" xfId="0" applyFill="1" applyBorder="1" applyAlignment="1">
      <alignment horizontal="left"/>
    </xf>
    <xf numFmtId="0" fontId="0" fillId="4" borderId="0" xfId="0" applyFill="1" applyBorder="1" applyAlignment="1">
      <alignment horizontal="left"/>
    </xf>
    <xf numFmtId="0" fontId="0" fillId="4" borderId="30" xfId="0" applyFill="1" applyBorder="1" applyAlignment="1">
      <alignment horizontal="left"/>
    </xf>
    <xf numFmtId="0" fontId="1" fillId="4" borderId="29" xfId="0" applyFont="1" applyFill="1" applyBorder="1" applyAlignment="1">
      <alignment horizontal="left"/>
    </xf>
    <xf numFmtId="0" fontId="1" fillId="4" borderId="0" xfId="0" applyFont="1" applyFill="1" applyBorder="1" applyAlignment="1">
      <alignment horizontal="left"/>
    </xf>
    <xf numFmtId="0" fontId="1" fillId="4" borderId="30" xfId="0" applyFont="1" applyFill="1" applyBorder="1" applyAlignment="1">
      <alignment horizontal="left"/>
    </xf>
    <xf numFmtId="0" fontId="1" fillId="4" borderId="26" xfId="0" applyFont="1" applyFill="1" applyBorder="1" applyAlignment="1">
      <alignment horizontal="left"/>
    </xf>
    <xf numFmtId="0" fontId="1" fillId="4" borderId="27" xfId="0" applyFont="1" applyFill="1" applyBorder="1" applyAlignment="1">
      <alignment horizontal="left"/>
    </xf>
    <xf numFmtId="0" fontId="1" fillId="4" borderId="28" xfId="0" applyFont="1" applyFill="1" applyBorder="1" applyAlignment="1">
      <alignment horizontal="left"/>
    </xf>
    <xf numFmtId="0" fontId="1" fillId="4" borderId="29" xfId="0" applyFont="1" applyFill="1" applyBorder="1" applyAlignment="1">
      <alignment horizontal="center"/>
    </xf>
    <xf numFmtId="0" fontId="1" fillId="4" borderId="0" xfId="0" applyFont="1" applyFill="1" applyBorder="1" applyAlignment="1">
      <alignment horizontal="center"/>
    </xf>
    <xf numFmtId="0" fontId="1" fillId="4" borderId="30" xfId="0" applyFont="1" applyFill="1" applyBorder="1" applyAlignment="1">
      <alignment horizontal="center"/>
    </xf>
  </cellXfs>
  <cellStyles count="9">
    <cellStyle name="Comma" xfId="1" builtinId="3"/>
    <cellStyle name="Currency" xfId="2" builtinId="4"/>
    <cellStyle name="Currency 2" xfId="3"/>
    <cellStyle name="Normal" xfId="0" builtinId="0"/>
    <cellStyle name="Normal 2" xfId="4"/>
    <cellStyle name="Normal 3" xfId="5"/>
    <cellStyle name="Normal_accounts questionaire business (excel version)" xfId="6"/>
    <cellStyle name="Percent" xfId="7" builtinId="5"/>
    <cellStyle name="Percent 2" xfId="8"/>
  </cellStyles>
  <dxfs count="43">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b/>
        <i val="0"/>
        <color rgb="FF47D94A"/>
      </font>
    </dxf>
    <dxf>
      <font>
        <b/>
        <i val="0"/>
        <color rgb="FFFF000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b/>
        <i val="0"/>
        <color rgb="FF47D94A"/>
      </font>
    </dxf>
    <dxf>
      <font>
        <b/>
        <i val="0"/>
        <color rgb="FFFF0000"/>
      </font>
    </dxf>
    <dxf>
      <font>
        <color rgb="FF9C0006"/>
      </font>
      <fill>
        <patternFill>
          <bgColor rgb="FFFFC000"/>
        </patternFill>
      </fill>
    </dxf>
    <dxf>
      <font>
        <color auto="1"/>
      </font>
      <fill>
        <patternFill>
          <bgColor rgb="FF92D050"/>
        </patternFill>
      </fill>
    </dxf>
    <dxf>
      <fill>
        <patternFill>
          <bgColor rgb="FFFF0000"/>
        </patternFill>
      </fill>
    </dxf>
    <dxf>
      <font>
        <b/>
        <i val="0"/>
        <color rgb="FF47D94A"/>
      </font>
    </dxf>
    <dxf>
      <font>
        <b/>
        <i val="0"/>
        <color rgb="FFFF0000"/>
      </font>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000" baseline="0"/>
              <a:t>Financial Performance - Year to Date</a:t>
            </a:r>
          </a:p>
        </c:rich>
      </c:tx>
      <c:layout>
        <c:manualLayout>
          <c:xMode val="edge"/>
          <c:yMode val="edge"/>
          <c:x val="0.28209096989214677"/>
          <c:y val="2.6961041634501571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Workings'!$B$61</c:f>
              <c:strCache>
                <c:ptCount val="1"/>
                <c:pt idx="0">
                  <c:v>Actual</c:v>
                </c:pt>
              </c:strCache>
            </c:strRef>
          </c:tx>
          <c:invertIfNegative val="0"/>
          <c:cat>
            <c:strRef>
              <c:f>'Graph Data and Workings'!$A$62:$A$64</c:f>
              <c:strCache>
                <c:ptCount val="3"/>
                <c:pt idx="0">
                  <c:v>Revenue</c:v>
                </c:pt>
                <c:pt idx="1">
                  <c:v>Expenses</c:v>
                </c:pt>
                <c:pt idx="2">
                  <c:v>Net Surplus</c:v>
                </c:pt>
              </c:strCache>
            </c:strRef>
          </c:cat>
          <c:val>
            <c:numRef>
              <c:f>'Graph Data and Workings'!$B$62:$B$64</c:f>
              <c:numCache>
                <c:formatCode>_-"$"* #,##0_-;\-"$"* #,##0_-;_-"$"* "-"??_-;_-@_-</c:formatCode>
                <c:ptCount val="3"/>
                <c:pt idx="0">
                  <c:v>2470</c:v>
                </c:pt>
                <c:pt idx="1">
                  <c:v>2338</c:v>
                </c:pt>
                <c:pt idx="2">
                  <c:v>132</c:v>
                </c:pt>
              </c:numCache>
            </c:numRef>
          </c:val>
        </c:ser>
        <c:ser>
          <c:idx val="1"/>
          <c:order val="1"/>
          <c:tx>
            <c:strRef>
              <c:f>'Graph Data and Workings'!$C$61</c:f>
              <c:strCache>
                <c:ptCount val="1"/>
                <c:pt idx="0">
                  <c:v>Budget</c:v>
                </c:pt>
              </c:strCache>
            </c:strRef>
          </c:tx>
          <c:invertIfNegative val="0"/>
          <c:cat>
            <c:strRef>
              <c:f>'Graph Data and Workings'!$A$62:$A$64</c:f>
              <c:strCache>
                <c:ptCount val="3"/>
                <c:pt idx="0">
                  <c:v>Revenue</c:v>
                </c:pt>
                <c:pt idx="1">
                  <c:v>Expenses</c:v>
                </c:pt>
                <c:pt idx="2">
                  <c:v>Net Surplus</c:v>
                </c:pt>
              </c:strCache>
            </c:strRef>
          </c:cat>
          <c:val>
            <c:numRef>
              <c:f>'Graph Data and Workings'!$C$62:$C$64</c:f>
              <c:numCache>
                <c:formatCode>_-"$"* #,##0_-;\-"$"* #,##0_-;_-"$"* "-"??_-;_-@_-</c:formatCode>
                <c:ptCount val="3"/>
                <c:pt idx="0">
                  <c:v>3177</c:v>
                </c:pt>
                <c:pt idx="1">
                  <c:v>2630</c:v>
                </c:pt>
                <c:pt idx="2">
                  <c:v>547</c:v>
                </c:pt>
              </c:numCache>
            </c:numRef>
          </c:val>
        </c:ser>
        <c:dLbls>
          <c:showLegendKey val="0"/>
          <c:showVal val="0"/>
          <c:showCatName val="0"/>
          <c:showSerName val="0"/>
          <c:showPercent val="0"/>
          <c:showBubbleSize val="0"/>
        </c:dLbls>
        <c:gapWidth val="150"/>
        <c:shape val="box"/>
        <c:axId val="164935552"/>
        <c:axId val="164937088"/>
        <c:axId val="0"/>
      </c:bar3DChart>
      <c:catAx>
        <c:axId val="164935552"/>
        <c:scaling>
          <c:orientation val="minMax"/>
        </c:scaling>
        <c:delete val="0"/>
        <c:axPos val="b"/>
        <c:majorTickMark val="none"/>
        <c:minorTickMark val="none"/>
        <c:tickLblPos val="nextTo"/>
        <c:txPr>
          <a:bodyPr/>
          <a:lstStyle/>
          <a:p>
            <a:pPr>
              <a:defRPr sz="800" baseline="0"/>
            </a:pPr>
            <a:endParaRPr lang="en-US"/>
          </a:p>
        </c:txPr>
        <c:crossAx val="164937088"/>
        <c:crosses val="autoZero"/>
        <c:auto val="1"/>
        <c:lblAlgn val="ctr"/>
        <c:lblOffset val="100"/>
        <c:noMultiLvlLbl val="0"/>
      </c:catAx>
      <c:valAx>
        <c:axId val="164937088"/>
        <c:scaling>
          <c:orientation val="minMax"/>
        </c:scaling>
        <c:delete val="0"/>
        <c:axPos val="l"/>
        <c:majorGridlines/>
        <c:numFmt formatCode="_-&quot;$&quot;* #,##0_-;\-&quot;$&quot;* #,##0_-;_-&quot;$&quot;* &quot;-&quot;??_-;_-@_-" sourceLinked="1"/>
        <c:majorTickMark val="none"/>
        <c:minorTickMark val="none"/>
        <c:tickLblPos val="nextTo"/>
        <c:crossAx val="164935552"/>
        <c:crosses val="autoZero"/>
        <c:crossBetween val="between"/>
      </c:valAx>
    </c:plotArea>
    <c:legend>
      <c:legendPos val="r"/>
      <c:overlay val="0"/>
      <c:txPr>
        <a:bodyPr/>
        <a:lstStyle/>
        <a:p>
          <a:pPr>
            <a:defRPr sz="800" baseline="0"/>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Total Grant Income - Actual v Budget</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Workings'!$A$33</c:f>
              <c:strCache>
                <c:ptCount val="1"/>
                <c:pt idx="0">
                  <c:v>Actual</c:v>
                </c:pt>
              </c:strCache>
            </c:strRef>
          </c:tx>
          <c:invertIfNegative val="0"/>
          <c:cat>
            <c:numRef>
              <c:f>'Graph Data and Workings'!$B$32:$M$32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Workings'!$B$33:$M$33</c:f>
              <c:numCache>
                <c:formatCode>_-"$"* #,##0_-;\-"$"* #,##0_-;_-"$"* "-"??_-;_-@_-</c:formatCode>
                <c:ptCount val="12"/>
                <c:pt idx="0">
                  <c:v>650</c:v>
                </c:pt>
                <c:pt idx="1">
                  <c:v>875</c:v>
                </c:pt>
                <c:pt idx="2">
                  <c:v>1260</c:v>
                </c:pt>
                <c:pt idx="3">
                  <c:v>860</c:v>
                </c:pt>
                <c:pt idx="4">
                  <c:v>1200</c:v>
                </c:pt>
                <c:pt idx="5">
                  <c:v>0</c:v>
                </c:pt>
                <c:pt idx="6">
                  <c:v>0</c:v>
                </c:pt>
                <c:pt idx="7">
                  <c:v>0</c:v>
                </c:pt>
                <c:pt idx="8">
                  <c:v>0</c:v>
                </c:pt>
                <c:pt idx="9">
                  <c:v>0</c:v>
                </c:pt>
                <c:pt idx="10">
                  <c:v>0</c:v>
                </c:pt>
                <c:pt idx="11">
                  <c:v>0</c:v>
                </c:pt>
              </c:numCache>
            </c:numRef>
          </c:val>
        </c:ser>
        <c:ser>
          <c:idx val="1"/>
          <c:order val="1"/>
          <c:tx>
            <c:strRef>
              <c:f>'Graph Data and Workings'!$A$34</c:f>
              <c:strCache>
                <c:ptCount val="1"/>
                <c:pt idx="0">
                  <c:v>Budget</c:v>
                </c:pt>
              </c:strCache>
            </c:strRef>
          </c:tx>
          <c:invertIfNegative val="0"/>
          <c:cat>
            <c:numRef>
              <c:f>'Graph Data and Workings'!$B$32:$M$32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Workings'!$B$34:$M$34</c:f>
              <c:numCache>
                <c:formatCode>_-"$"* #,##0_-;\-"$"* #,##0_-;_-"$"* "-"??_-;_-@_-</c:formatCode>
                <c:ptCount val="12"/>
                <c:pt idx="0">
                  <c:v>927</c:v>
                </c:pt>
                <c:pt idx="1">
                  <c:v>1050</c:v>
                </c:pt>
                <c:pt idx="2">
                  <c:v>876</c:v>
                </c:pt>
                <c:pt idx="3">
                  <c:v>900</c:v>
                </c:pt>
                <c:pt idx="4">
                  <c:v>900</c:v>
                </c:pt>
                <c:pt idx="5">
                  <c:v>1100</c:v>
                </c:pt>
                <c:pt idx="6">
                  <c:v>950</c:v>
                </c:pt>
                <c:pt idx="7">
                  <c:v>900</c:v>
                </c:pt>
                <c:pt idx="8">
                  <c:v>900</c:v>
                </c:pt>
                <c:pt idx="9">
                  <c:v>900</c:v>
                </c:pt>
                <c:pt idx="10">
                  <c:v>900</c:v>
                </c:pt>
                <c:pt idx="11">
                  <c:v>900</c:v>
                </c:pt>
              </c:numCache>
            </c:numRef>
          </c:val>
        </c:ser>
        <c:dLbls>
          <c:showLegendKey val="0"/>
          <c:showVal val="0"/>
          <c:showCatName val="0"/>
          <c:showSerName val="0"/>
          <c:showPercent val="0"/>
          <c:showBubbleSize val="0"/>
        </c:dLbls>
        <c:gapWidth val="150"/>
        <c:shape val="box"/>
        <c:axId val="165240192"/>
        <c:axId val="165262464"/>
        <c:axId val="0"/>
      </c:bar3DChart>
      <c:dateAx>
        <c:axId val="165240192"/>
        <c:scaling>
          <c:orientation val="minMax"/>
        </c:scaling>
        <c:delete val="0"/>
        <c:axPos val="b"/>
        <c:numFmt formatCode="mmm\-yy" sourceLinked="1"/>
        <c:majorTickMark val="none"/>
        <c:minorTickMark val="none"/>
        <c:tickLblPos val="nextTo"/>
        <c:txPr>
          <a:bodyPr/>
          <a:lstStyle/>
          <a:p>
            <a:pPr>
              <a:defRPr sz="800" baseline="0"/>
            </a:pPr>
            <a:endParaRPr lang="en-US"/>
          </a:p>
        </c:txPr>
        <c:crossAx val="165262464"/>
        <c:crosses val="autoZero"/>
        <c:auto val="1"/>
        <c:lblOffset val="100"/>
        <c:baseTimeUnit val="months"/>
      </c:dateAx>
      <c:valAx>
        <c:axId val="165262464"/>
        <c:scaling>
          <c:orientation val="minMax"/>
        </c:scaling>
        <c:delete val="0"/>
        <c:axPos val="l"/>
        <c:majorGridlines/>
        <c:numFmt formatCode="_-&quot;$&quot;* #,##0_-;\-&quot;$&quot;* #,##0_-;_-&quot;$&quot;* &quot;-&quot;??_-;_-@_-" sourceLinked="1"/>
        <c:majorTickMark val="none"/>
        <c:minorTickMark val="none"/>
        <c:tickLblPos val="nextTo"/>
        <c:crossAx val="165240192"/>
        <c:crosses val="autoZero"/>
        <c:crossBetween val="between"/>
      </c:valAx>
    </c:plotArea>
    <c:legend>
      <c:legendPos val="r"/>
      <c:overlay val="0"/>
      <c:txPr>
        <a:bodyPr/>
        <a:lstStyle/>
        <a:p>
          <a:pPr>
            <a:defRPr sz="800" baseline="0"/>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Net Profit - Actual v Budget</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Workings'!$A$38</c:f>
              <c:strCache>
                <c:ptCount val="1"/>
                <c:pt idx="0">
                  <c:v>Actual</c:v>
                </c:pt>
              </c:strCache>
            </c:strRef>
          </c:tx>
          <c:invertIfNegative val="0"/>
          <c:cat>
            <c:numRef>
              <c:f>'Graph Data and Workings'!$B$37:$M$37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Workings'!$B$38:$M$38</c:f>
              <c:numCache>
                <c:formatCode>_-"$"* #,##0_-;\-"$"* #,##0_-;_-"$"* "-"??_-;_-@_-</c:formatCode>
                <c:ptCount val="12"/>
                <c:pt idx="0">
                  <c:v>-134</c:v>
                </c:pt>
                <c:pt idx="1">
                  <c:v>266</c:v>
                </c:pt>
                <c:pt idx="2">
                  <c:v>91</c:v>
                </c:pt>
                <c:pt idx="3">
                  <c:v>150</c:v>
                </c:pt>
                <c:pt idx="4">
                  <c:v>-1089</c:v>
                </c:pt>
                <c:pt idx="5">
                  <c:v>0</c:v>
                </c:pt>
                <c:pt idx="6">
                  <c:v>0</c:v>
                </c:pt>
                <c:pt idx="7">
                  <c:v>0</c:v>
                </c:pt>
                <c:pt idx="8">
                  <c:v>0</c:v>
                </c:pt>
                <c:pt idx="9">
                  <c:v>0</c:v>
                </c:pt>
                <c:pt idx="10">
                  <c:v>0</c:v>
                </c:pt>
                <c:pt idx="11">
                  <c:v>0</c:v>
                </c:pt>
              </c:numCache>
            </c:numRef>
          </c:val>
        </c:ser>
        <c:ser>
          <c:idx val="1"/>
          <c:order val="1"/>
          <c:tx>
            <c:strRef>
              <c:f>'Graph Data and Workings'!$A$39</c:f>
              <c:strCache>
                <c:ptCount val="1"/>
                <c:pt idx="0">
                  <c:v>Budget</c:v>
                </c:pt>
              </c:strCache>
            </c:strRef>
          </c:tx>
          <c:invertIfNegative val="0"/>
          <c:cat>
            <c:numRef>
              <c:f>'Graph Data and Workings'!$B$37:$M$37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Workings'!$B$39:$M$39</c:f>
              <c:numCache>
                <c:formatCode>_-"$"* #,##0_-;\-"$"* #,##0_-;_-"$"* "-"??_-;_-@_-</c:formatCode>
                <c:ptCount val="12"/>
                <c:pt idx="0">
                  <c:v>212</c:v>
                </c:pt>
                <c:pt idx="1">
                  <c:v>335</c:v>
                </c:pt>
                <c:pt idx="2">
                  <c:v>161</c:v>
                </c:pt>
                <c:pt idx="3">
                  <c:v>185</c:v>
                </c:pt>
                <c:pt idx="4">
                  <c:v>185</c:v>
                </c:pt>
                <c:pt idx="5">
                  <c:v>385</c:v>
                </c:pt>
                <c:pt idx="6">
                  <c:v>235</c:v>
                </c:pt>
                <c:pt idx="7">
                  <c:v>185</c:v>
                </c:pt>
                <c:pt idx="8">
                  <c:v>185</c:v>
                </c:pt>
                <c:pt idx="9">
                  <c:v>185</c:v>
                </c:pt>
                <c:pt idx="10">
                  <c:v>185</c:v>
                </c:pt>
                <c:pt idx="11">
                  <c:v>185</c:v>
                </c:pt>
              </c:numCache>
            </c:numRef>
          </c:val>
        </c:ser>
        <c:dLbls>
          <c:showLegendKey val="0"/>
          <c:showVal val="0"/>
          <c:showCatName val="0"/>
          <c:showSerName val="0"/>
          <c:showPercent val="0"/>
          <c:showBubbleSize val="0"/>
        </c:dLbls>
        <c:gapWidth val="150"/>
        <c:shape val="box"/>
        <c:axId val="181745920"/>
        <c:axId val="181760000"/>
        <c:axId val="0"/>
      </c:bar3DChart>
      <c:dateAx>
        <c:axId val="181745920"/>
        <c:scaling>
          <c:orientation val="minMax"/>
        </c:scaling>
        <c:delete val="0"/>
        <c:axPos val="b"/>
        <c:numFmt formatCode="mmm\-yy" sourceLinked="1"/>
        <c:majorTickMark val="none"/>
        <c:minorTickMark val="none"/>
        <c:tickLblPos val="nextTo"/>
        <c:txPr>
          <a:bodyPr/>
          <a:lstStyle/>
          <a:p>
            <a:pPr>
              <a:defRPr sz="800" baseline="0"/>
            </a:pPr>
            <a:endParaRPr lang="en-US"/>
          </a:p>
        </c:txPr>
        <c:crossAx val="181760000"/>
        <c:crosses val="autoZero"/>
        <c:auto val="1"/>
        <c:lblOffset val="100"/>
        <c:baseTimeUnit val="months"/>
      </c:dateAx>
      <c:valAx>
        <c:axId val="181760000"/>
        <c:scaling>
          <c:orientation val="minMax"/>
        </c:scaling>
        <c:delete val="0"/>
        <c:axPos val="l"/>
        <c:majorGridlines/>
        <c:numFmt formatCode="_-&quot;$&quot;* #,##0_-;\-&quot;$&quot;* #,##0_-;_-&quot;$&quot;* &quot;-&quot;??_-;_-@_-" sourceLinked="1"/>
        <c:majorTickMark val="none"/>
        <c:minorTickMark val="none"/>
        <c:tickLblPos val="nextTo"/>
        <c:crossAx val="181745920"/>
        <c:crosses val="autoZero"/>
        <c:crossBetween val="between"/>
      </c:valAx>
    </c:plotArea>
    <c:legend>
      <c:legendPos val="r"/>
      <c:overlay val="0"/>
      <c:txPr>
        <a:bodyPr/>
        <a:lstStyle/>
        <a:p>
          <a:pPr>
            <a:defRPr sz="800" baseline="0"/>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en-NZ" sz="1000" baseline="0"/>
              <a:t>Unsecured Income Status</a:t>
            </a:r>
          </a:p>
        </c:rich>
      </c:tx>
      <c:layout>
        <c:manualLayout>
          <c:xMode val="edge"/>
          <c:yMode val="edge"/>
          <c:x val="0.40368948476035088"/>
          <c:y val="2.7777959290358416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2507758890956278"/>
          <c:y val="0.18928420523097073"/>
          <c:w val="0.85791984110094344"/>
          <c:h val="0.64676337108480342"/>
        </c:manualLayout>
      </c:layout>
      <c:bar3DChart>
        <c:barDir val="col"/>
        <c:grouping val="clustered"/>
        <c:varyColors val="0"/>
        <c:ser>
          <c:idx val="0"/>
          <c:order val="0"/>
          <c:invertIfNegative val="0"/>
          <c:dPt>
            <c:idx val="1"/>
            <c:invertIfNegative val="0"/>
            <c:bubble3D val="0"/>
            <c:spPr>
              <a:solidFill>
                <a:schemeClr val="accent2"/>
              </a:solidFill>
            </c:spPr>
          </c:dPt>
          <c:dPt>
            <c:idx val="2"/>
            <c:invertIfNegative val="0"/>
            <c:bubble3D val="0"/>
            <c:spPr>
              <a:solidFill>
                <a:srgbClr val="92D050"/>
              </a:solidFill>
            </c:spPr>
          </c:dPt>
          <c:dLbls>
            <c:showLegendKey val="0"/>
            <c:showVal val="1"/>
            <c:showCatName val="0"/>
            <c:showSerName val="0"/>
            <c:showPercent val="0"/>
            <c:showBubbleSize val="0"/>
            <c:showLeaderLines val="0"/>
          </c:dLbls>
          <c:cat>
            <c:strRef>
              <c:f>'Graph Data and Workings'!$A$56:$A$58</c:f>
              <c:strCache>
                <c:ptCount val="3"/>
                <c:pt idx="0">
                  <c:v>YTD Unsecured Income Received</c:v>
                </c:pt>
                <c:pt idx="1">
                  <c:v>Total Unsecured Income Budget (Full Year)</c:v>
                </c:pt>
                <c:pt idx="2">
                  <c:v>Latest Full Year Forecast</c:v>
                </c:pt>
              </c:strCache>
            </c:strRef>
          </c:cat>
          <c:val>
            <c:numRef>
              <c:f>'Graph Data and Workings'!$B$56:$B$58</c:f>
              <c:numCache>
                <c:formatCode>_-"$"* #,##0_-;\-"$"* #,##0_-;_-"$"* "-"??_-;_-@_-</c:formatCode>
                <c:ptCount val="3"/>
                <c:pt idx="0">
                  <c:v>450</c:v>
                </c:pt>
                <c:pt idx="1">
                  <c:v>2400</c:v>
                </c:pt>
                <c:pt idx="2">
                  <c:v>1610</c:v>
                </c:pt>
              </c:numCache>
            </c:numRef>
          </c:val>
        </c:ser>
        <c:dLbls>
          <c:showLegendKey val="0"/>
          <c:showVal val="0"/>
          <c:showCatName val="0"/>
          <c:showSerName val="0"/>
          <c:showPercent val="0"/>
          <c:showBubbleSize val="0"/>
        </c:dLbls>
        <c:gapWidth val="150"/>
        <c:shape val="box"/>
        <c:axId val="181773824"/>
        <c:axId val="181775360"/>
        <c:axId val="0"/>
      </c:bar3DChart>
      <c:catAx>
        <c:axId val="181773824"/>
        <c:scaling>
          <c:orientation val="minMax"/>
        </c:scaling>
        <c:delete val="0"/>
        <c:axPos val="b"/>
        <c:majorTickMark val="none"/>
        <c:minorTickMark val="none"/>
        <c:tickLblPos val="nextTo"/>
        <c:txPr>
          <a:bodyPr/>
          <a:lstStyle/>
          <a:p>
            <a:pPr>
              <a:defRPr sz="800" baseline="0"/>
            </a:pPr>
            <a:endParaRPr lang="en-US"/>
          </a:p>
        </c:txPr>
        <c:crossAx val="181775360"/>
        <c:crosses val="autoZero"/>
        <c:auto val="1"/>
        <c:lblAlgn val="ctr"/>
        <c:lblOffset val="100"/>
        <c:noMultiLvlLbl val="0"/>
      </c:catAx>
      <c:valAx>
        <c:axId val="181775360"/>
        <c:scaling>
          <c:orientation val="minMax"/>
        </c:scaling>
        <c:delete val="0"/>
        <c:axPos val="l"/>
        <c:majorGridlines/>
        <c:numFmt formatCode="_-&quot;$&quot;* #,##0_-;\-&quot;$&quot;* #,##0_-;_-&quot;$&quot;* &quot;-&quot;??_-;_-@_-" sourceLinked="1"/>
        <c:majorTickMark val="none"/>
        <c:minorTickMark val="none"/>
        <c:tickLblPos val="nextTo"/>
        <c:crossAx val="181773824"/>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000" baseline="0"/>
              <a:t>Unsecured Sponsorship Income</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Workings'!$A$28</c:f>
              <c:strCache>
                <c:ptCount val="1"/>
                <c:pt idx="0">
                  <c:v>Actual</c:v>
                </c:pt>
              </c:strCache>
            </c:strRef>
          </c:tx>
          <c:invertIfNegative val="0"/>
          <c:cat>
            <c:numRef>
              <c:f>'Graph Data and Workings'!$B$27:$M$27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Workings'!$B$28:$M$28</c:f>
              <c:numCache>
                <c:formatCode>_-"$"* #,##0_-;\-"$"* #,##0_-;_-"$"* "-"??_-;_-@_-</c:formatCode>
                <c:ptCount val="12"/>
                <c:pt idx="0">
                  <c:v>150</c:v>
                </c:pt>
                <c:pt idx="1">
                  <c:v>75</c:v>
                </c:pt>
                <c:pt idx="2">
                  <c:v>60</c:v>
                </c:pt>
                <c:pt idx="3">
                  <c:v>110</c:v>
                </c:pt>
                <c:pt idx="4">
                  <c:v>100</c:v>
                </c:pt>
                <c:pt idx="5">
                  <c:v>0</c:v>
                </c:pt>
                <c:pt idx="6">
                  <c:v>0</c:v>
                </c:pt>
                <c:pt idx="7">
                  <c:v>0</c:v>
                </c:pt>
                <c:pt idx="8">
                  <c:v>0</c:v>
                </c:pt>
                <c:pt idx="9">
                  <c:v>0</c:v>
                </c:pt>
                <c:pt idx="10">
                  <c:v>0</c:v>
                </c:pt>
                <c:pt idx="11">
                  <c:v>0</c:v>
                </c:pt>
              </c:numCache>
            </c:numRef>
          </c:val>
        </c:ser>
        <c:ser>
          <c:idx val="1"/>
          <c:order val="1"/>
          <c:tx>
            <c:strRef>
              <c:f>'Graph Data and Workings'!$A$29</c:f>
              <c:strCache>
                <c:ptCount val="1"/>
                <c:pt idx="0">
                  <c:v>Budget</c:v>
                </c:pt>
              </c:strCache>
            </c:strRef>
          </c:tx>
          <c:invertIfNegative val="0"/>
          <c:cat>
            <c:numRef>
              <c:f>'Graph Data and Workings'!$B$27:$M$27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Workings'!$B$29:$M$29</c:f>
              <c:numCache>
                <c:formatCode>_-"$"* #,##0_-;\-"$"* #,##0_-;_-"$"* "-"??_-;_-@_-</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ser>
        <c:dLbls>
          <c:showLegendKey val="0"/>
          <c:showVal val="0"/>
          <c:showCatName val="0"/>
          <c:showSerName val="0"/>
          <c:showPercent val="0"/>
          <c:showBubbleSize val="0"/>
        </c:dLbls>
        <c:gapWidth val="150"/>
        <c:shape val="box"/>
        <c:axId val="181878784"/>
        <c:axId val="181880320"/>
        <c:axId val="0"/>
      </c:bar3DChart>
      <c:dateAx>
        <c:axId val="181878784"/>
        <c:scaling>
          <c:orientation val="minMax"/>
        </c:scaling>
        <c:delete val="0"/>
        <c:axPos val="b"/>
        <c:numFmt formatCode="mmm\-yy" sourceLinked="1"/>
        <c:majorTickMark val="none"/>
        <c:minorTickMark val="none"/>
        <c:tickLblPos val="nextTo"/>
        <c:txPr>
          <a:bodyPr/>
          <a:lstStyle/>
          <a:p>
            <a:pPr>
              <a:defRPr sz="800" baseline="0"/>
            </a:pPr>
            <a:endParaRPr lang="en-US"/>
          </a:p>
        </c:txPr>
        <c:crossAx val="181880320"/>
        <c:crosses val="autoZero"/>
        <c:auto val="1"/>
        <c:lblOffset val="100"/>
        <c:baseTimeUnit val="months"/>
      </c:dateAx>
      <c:valAx>
        <c:axId val="181880320"/>
        <c:scaling>
          <c:orientation val="minMax"/>
        </c:scaling>
        <c:delete val="0"/>
        <c:axPos val="l"/>
        <c:majorGridlines/>
        <c:numFmt formatCode="_-&quot;$&quot;* #,##0_-;\-&quot;$&quot;* #,##0_-;_-&quot;$&quot;* &quot;-&quot;??_-;_-@_-" sourceLinked="1"/>
        <c:majorTickMark val="none"/>
        <c:minorTickMark val="none"/>
        <c:tickLblPos val="nextTo"/>
        <c:crossAx val="181878784"/>
        <c:crosses val="autoZero"/>
        <c:crossBetween val="between"/>
      </c:valAx>
    </c:plotArea>
    <c:legend>
      <c:legendPos val="r"/>
      <c:overlay val="0"/>
      <c:txPr>
        <a:bodyPr/>
        <a:lstStyle/>
        <a:p>
          <a:pPr>
            <a:defRPr sz="800" baseline="0"/>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000" baseline="0"/>
              <a:t>Total Expenses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Workings'!$A$43</c:f>
              <c:strCache>
                <c:ptCount val="1"/>
                <c:pt idx="0">
                  <c:v>Actual</c:v>
                </c:pt>
              </c:strCache>
            </c:strRef>
          </c:tx>
          <c:invertIfNegative val="0"/>
          <c:cat>
            <c:numRef>
              <c:f>'Graph Data and Workings'!$B$42:$M$42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Workings'!$B$43:$M$43</c:f>
              <c:numCache>
                <c:formatCode>_-"$"* #,##0_-;\-"$"* #,##0_-;_-"$"* "-"??_-;_-@_-</c:formatCode>
                <c:ptCount val="12"/>
                <c:pt idx="0">
                  <c:v>1309</c:v>
                </c:pt>
                <c:pt idx="1">
                  <c:v>1029</c:v>
                </c:pt>
                <c:pt idx="2">
                  <c:v>1634</c:v>
                </c:pt>
                <c:pt idx="3">
                  <c:v>1199</c:v>
                </c:pt>
                <c:pt idx="4">
                  <c:v>2899</c:v>
                </c:pt>
                <c:pt idx="5">
                  <c:v>0</c:v>
                </c:pt>
                <c:pt idx="6">
                  <c:v>0</c:v>
                </c:pt>
                <c:pt idx="7">
                  <c:v>0</c:v>
                </c:pt>
                <c:pt idx="8">
                  <c:v>0</c:v>
                </c:pt>
                <c:pt idx="9">
                  <c:v>0</c:v>
                </c:pt>
                <c:pt idx="10">
                  <c:v>0</c:v>
                </c:pt>
                <c:pt idx="11">
                  <c:v>0</c:v>
                </c:pt>
              </c:numCache>
            </c:numRef>
          </c:val>
        </c:ser>
        <c:ser>
          <c:idx val="1"/>
          <c:order val="1"/>
          <c:tx>
            <c:strRef>
              <c:f>'Graph Data and Workings'!$A$44</c:f>
              <c:strCache>
                <c:ptCount val="1"/>
                <c:pt idx="0">
                  <c:v>Budget</c:v>
                </c:pt>
              </c:strCache>
            </c:strRef>
          </c:tx>
          <c:invertIfNegative val="0"/>
          <c:cat>
            <c:numRef>
              <c:f>'Graph Data and Workings'!$B$42:$M$42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Workings'!$B$44:$M$44</c:f>
              <c:numCache>
                <c:formatCode>_-"$"* #,##0_-;\-"$"* #,##0_-;_-"$"* "-"??_-;_-@_-</c:formatCode>
                <c:ptCount val="12"/>
                <c:pt idx="0">
                  <c:v>1315</c:v>
                </c:pt>
                <c:pt idx="1">
                  <c:v>1315</c:v>
                </c:pt>
                <c:pt idx="2">
                  <c:v>1315</c:v>
                </c:pt>
                <c:pt idx="3">
                  <c:v>1315</c:v>
                </c:pt>
                <c:pt idx="4">
                  <c:v>1315</c:v>
                </c:pt>
                <c:pt idx="5">
                  <c:v>1315</c:v>
                </c:pt>
                <c:pt idx="6">
                  <c:v>1315</c:v>
                </c:pt>
                <c:pt idx="7">
                  <c:v>1315</c:v>
                </c:pt>
                <c:pt idx="8">
                  <c:v>1315</c:v>
                </c:pt>
                <c:pt idx="9">
                  <c:v>1315</c:v>
                </c:pt>
                <c:pt idx="10">
                  <c:v>1315</c:v>
                </c:pt>
                <c:pt idx="11">
                  <c:v>1315</c:v>
                </c:pt>
              </c:numCache>
            </c:numRef>
          </c:val>
        </c:ser>
        <c:dLbls>
          <c:showLegendKey val="0"/>
          <c:showVal val="0"/>
          <c:showCatName val="0"/>
          <c:showSerName val="0"/>
          <c:showPercent val="0"/>
          <c:showBubbleSize val="0"/>
        </c:dLbls>
        <c:gapWidth val="150"/>
        <c:shape val="box"/>
        <c:axId val="181901952"/>
        <c:axId val="184357248"/>
        <c:axId val="0"/>
      </c:bar3DChart>
      <c:dateAx>
        <c:axId val="181901952"/>
        <c:scaling>
          <c:orientation val="minMax"/>
        </c:scaling>
        <c:delete val="0"/>
        <c:axPos val="b"/>
        <c:numFmt formatCode="mmm\-yy" sourceLinked="1"/>
        <c:majorTickMark val="none"/>
        <c:minorTickMark val="none"/>
        <c:tickLblPos val="nextTo"/>
        <c:txPr>
          <a:bodyPr/>
          <a:lstStyle/>
          <a:p>
            <a:pPr>
              <a:defRPr sz="800" baseline="0"/>
            </a:pPr>
            <a:endParaRPr lang="en-US"/>
          </a:p>
        </c:txPr>
        <c:crossAx val="184357248"/>
        <c:crosses val="autoZero"/>
        <c:auto val="1"/>
        <c:lblOffset val="100"/>
        <c:baseTimeUnit val="months"/>
      </c:dateAx>
      <c:valAx>
        <c:axId val="184357248"/>
        <c:scaling>
          <c:orientation val="minMax"/>
        </c:scaling>
        <c:delete val="0"/>
        <c:axPos val="l"/>
        <c:majorGridlines/>
        <c:numFmt formatCode="_-&quot;$&quot;* #,##0_-;\-&quot;$&quot;* #,##0_-;_-&quot;$&quot;* &quot;-&quot;??_-;_-@_-" sourceLinked="1"/>
        <c:majorTickMark val="none"/>
        <c:minorTickMark val="none"/>
        <c:tickLblPos val="nextTo"/>
        <c:crossAx val="181901952"/>
        <c:crosses val="autoZero"/>
        <c:crossBetween val="between"/>
      </c:valAx>
    </c:plotArea>
    <c:legend>
      <c:legendPos val="r"/>
      <c:overlay val="0"/>
      <c:txPr>
        <a:bodyPr/>
        <a:lstStyle/>
        <a:p>
          <a:pPr>
            <a:defRPr sz="800" baseline="0"/>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Receivables Aging Profile</a:t>
            </a:r>
          </a:p>
        </c:rich>
      </c:tx>
      <c:overlay val="0"/>
    </c:title>
    <c:autoTitleDeleted val="0"/>
    <c:plotArea>
      <c:layout>
        <c:manualLayout>
          <c:layoutTarget val="inner"/>
          <c:xMode val="edge"/>
          <c:yMode val="edge"/>
          <c:x val="8.983708108180298E-2"/>
          <c:y val="0.20223814166419396"/>
          <c:w val="0.656923905631973"/>
          <c:h val="0.56581688128996765"/>
        </c:manualLayout>
      </c:layout>
      <c:barChart>
        <c:barDir val="col"/>
        <c:grouping val="percentStacked"/>
        <c:varyColors val="0"/>
        <c:ser>
          <c:idx val="0"/>
          <c:order val="0"/>
          <c:tx>
            <c:strRef>
              <c:f>'Graph Data and Workings'!$A$68</c:f>
              <c:strCache>
                <c:ptCount val="1"/>
                <c:pt idx="0">
                  <c:v>Current</c:v>
                </c:pt>
              </c:strCache>
            </c:strRef>
          </c:tx>
          <c:invertIfNegative val="0"/>
          <c:cat>
            <c:numRef>
              <c:f>'Graph Data and Workings'!$B$67:$M$67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Workings'!$B$68:$M$68</c:f>
              <c:numCache>
                <c:formatCode>0.00%</c:formatCode>
                <c:ptCount val="12"/>
                <c:pt idx="0">
                  <c:v>0.75</c:v>
                </c:pt>
                <c:pt idx="1">
                  <c:v>0.72</c:v>
                </c:pt>
                <c:pt idx="2">
                  <c:v>0.81818181818181823</c:v>
                </c:pt>
                <c:pt idx="3">
                  <c:v>0.92307692307692313</c:v>
                </c:pt>
                <c:pt idx="4">
                  <c:v>0.8571428571428571</c:v>
                </c:pt>
                <c:pt idx="5">
                  <c:v>0</c:v>
                </c:pt>
                <c:pt idx="6">
                  <c:v>0</c:v>
                </c:pt>
                <c:pt idx="7">
                  <c:v>0</c:v>
                </c:pt>
                <c:pt idx="8">
                  <c:v>0</c:v>
                </c:pt>
                <c:pt idx="9">
                  <c:v>0</c:v>
                </c:pt>
                <c:pt idx="10">
                  <c:v>0</c:v>
                </c:pt>
                <c:pt idx="11">
                  <c:v>0</c:v>
                </c:pt>
              </c:numCache>
            </c:numRef>
          </c:val>
        </c:ser>
        <c:ser>
          <c:idx val="1"/>
          <c:order val="1"/>
          <c:tx>
            <c:strRef>
              <c:f>'Graph Data and Workings'!$A$69</c:f>
              <c:strCache>
                <c:ptCount val="1"/>
                <c:pt idx="0">
                  <c:v>One month overdue</c:v>
                </c:pt>
              </c:strCache>
            </c:strRef>
          </c:tx>
          <c:invertIfNegative val="0"/>
          <c:cat>
            <c:numRef>
              <c:f>'Graph Data and Workings'!$B$67:$M$67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Workings'!$B$69:$M$69</c:f>
              <c:numCache>
                <c:formatCode>0.00%</c:formatCode>
                <c:ptCount val="12"/>
                <c:pt idx="0">
                  <c:v>8.3333333333333329E-2</c:v>
                </c:pt>
                <c:pt idx="1">
                  <c:v>0.08</c:v>
                </c:pt>
                <c:pt idx="2">
                  <c:v>9.0909090909090912E-2</c:v>
                </c:pt>
                <c:pt idx="3">
                  <c:v>7.6923076923076927E-2</c:v>
                </c:pt>
                <c:pt idx="4">
                  <c:v>7.1428571428571425E-2</c:v>
                </c:pt>
                <c:pt idx="5">
                  <c:v>0</c:v>
                </c:pt>
                <c:pt idx="6">
                  <c:v>0</c:v>
                </c:pt>
                <c:pt idx="7">
                  <c:v>0</c:v>
                </c:pt>
                <c:pt idx="8">
                  <c:v>0</c:v>
                </c:pt>
                <c:pt idx="9">
                  <c:v>0</c:v>
                </c:pt>
                <c:pt idx="10">
                  <c:v>0</c:v>
                </c:pt>
                <c:pt idx="11">
                  <c:v>0</c:v>
                </c:pt>
              </c:numCache>
            </c:numRef>
          </c:val>
        </c:ser>
        <c:ser>
          <c:idx val="2"/>
          <c:order val="2"/>
          <c:tx>
            <c:strRef>
              <c:f>'Graph Data and Workings'!$A$70</c:f>
              <c:strCache>
                <c:ptCount val="1"/>
                <c:pt idx="0">
                  <c:v>Two months overdue</c:v>
                </c:pt>
              </c:strCache>
            </c:strRef>
          </c:tx>
          <c:invertIfNegative val="0"/>
          <c:cat>
            <c:numRef>
              <c:f>'Graph Data and Workings'!$B$67:$M$67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Workings'!$B$70:$M$70</c:f>
              <c:numCache>
                <c:formatCode>0.00%</c:formatCode>
                <c:ptCount val="12"/>
                <c:pt idx="0">
                  <c:v>8.3333333333333329E-2</c:v>
                </c:pt>
                <c:pt idx="1">
                  <c:v>0.08</c:v>
                </c:pt>
                <c:pt idx="2">
                  <c:v>9.0909090909090912E-2</c:v>
                </c:pt>
                <c:pt idx="3">
                  <c:v>0</c:v>
                </c:pt>
                <c:pt idx="4">
                  <c:v>3.5714285714285712E-2</c:v>
                </c:pt>
                <c:pt idx="5">
                  <c:v>0</c:v>
                </c:pt>
                <c:pt idx="6">
                  <c:v>0</c:v>
                </c:pt>
                <c:pt idx="7">
                  <c:v>0</c:v>
                </c:pt>
                <c:pt idx="8">
                  <c:v>0</c:v>
                </c:pt>
                <c:pt idx="9">
                  <c:v>0</c:v>
                </c:pt>
                <c:pt idx="10">
                  <c:v>0</c:v>
                </c:pt>
                <c:pt idx="11">
                  <c:v>0</c:v>
                </c:pt>
              </c:numCache>
            </c:numRef>
          </c:val>
        </c:ser>
        <c:ser>
          <c:idx val="3"/>
          <c:order val="3"/>
          <c:tx>
            <c:strRef>
              <c:f>'Graph Data and Workings'!$A$71</c:f>
              <c:strCache>
                <c:ptCount val="1"/>
                <c:pt idx="0">
                  <c:v>Three months or more overdue</c:v>
                </c:pt>
              </c:strCache>
            </c:strRef>
          </c:tx>
          <c:invertIfNegative val="0"/>
          <c:cat>
            <c:numRef>
              <c:f>'Graph Data and Workings'!$B$67:$M$67</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Workings'!$B$71:$M$71</c:f>
              <c:numCache>
                <c:formatCode>0.00%</c:formatCode>
                <c:ptCount val="12"/>
                <c:pt idx="0">
                  <c:v>8.3333333333333329E-2</c:v>
                </c:pt>
                <c:pt idx="1">
                  <c:v>0.12</c:v>
                </c:pt>
                <c:pt idx="2">
                  <c:v>0</c:v>
                </c:pt>
                <c:pt idx="3">
                  <c:v>0</c:v>
                </c:pt>
                <c:pt idx="4">
                  <c:v>3.5714285714285712E-2</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55"/>
        <c:overlap val="100"/>
        <c:axId val="184384128"/>
        <c:axId val="184390016"/>
      </c:barChart>
      <c:dateAx>
        <c:axId val="184384128"/>
        <c:scaling>
          <c:orientation val="minMax"/>
        </c:scaling>
        <c:delete val="0"/>
        <c:axPos val="b"/>
        <c:numFmt formatCode="mmm\-yy" sourceLinked="1"/>
        <c:majorTickMark val="none"/>
        <c:minorTickMark val="none"/>
        <c:tickLblPos val="nextTo"/>
        <c:txPr>
          <a:bodyPr/>
          <a:lstStyle/>
          <a:p>
            <a:pPr>
              <a:defRPr sz="800" baseline="0"/>
            </a:pPr>
            <a:endParaRPr lang="en-US"/>
          </a:p>
        </c:txPr>
        <c:crossAx val="184390016"/>
        <c:crosses val="autoZero"/>
        <c:auto val="1"/>
        <c:lblOffset val="100"/>
        <c:baseTimeUnit val="months"/>
      </c:dateAx>
      <c:valAx>
        <c:axId val="184390016"/>
        <c:scaling>
          <c:orientation val="minMax"/>
        </c:scaling>
        <c:delete val="0"/>
        <c:axPos val="l"/>
        <c:majorGridlines/>
        <c:numFmt formatCode="0%" sourceLinked="1"/>
        <c:majorTickMark val="none"/>
        <c:minorTickMark val="none"/>
        <c:tickLblPos val="nextTo"/>
        <c:crossAx val="184384128"/>
        <c:crosses val="autoZero"/>
        <c:crossBetween val="between"/>
      </c:valAx>
    </c:plotArea>
    <c:legend>
      <c:legendPos val="r"/>
      <c:layout>
        <c:manualLayout>
          <c:xMode val="edge"/>
          <c:yMode val="edge"/>
          <c:x val="0.79486252734739837"/>
          <c:y val="0.19160212005230792"/>
          <c:w val="0.1931900368545468"/>
          <c:h val="0.76690460448250231"/>
        </c:manualLayout>
      </c:layout>
      <c:overlay val="0"/>
      <c:txPr>
        <a:bodyPr/>
        <a:lstStyle/>
        <a:p>
          <a:pPr>
            <a:defRPr baseline="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Payables Aging Profile</a:t>
            </a:r>
          </a:p>
        </c:rich>
      </c:tx>
      <c:overlay val="0"/>
    </c:title>
    <c:autoTitleDeleted val="0"/>
    <c:plotArea>
      <c:layout>
        <c:manualLayout>
          <c:layoutTarget val="inner"/>
          <c:xMode val="edge"/>
          <c:yMode val="edge"/>
          <c:x val="8.9837047754189742E-2"/>
          <c:y val="0.18976539826794778"/>
          <c:w val="0.65927956001966181"/>
          <c:h val="0.54643634303421318"/>
        </c:manualLayout>
      </c:layout>
      <c:barChart>
        <c:barDir val="col"/>
        <c:grouping val="percentStacked"/>
        <c:varyColors val="0"/>
        <c:ser>
          <c:idx val="0"/>
          <c:order val="0"/>
          <c:tx>
            <c:strRef>
              <c:f>'Graph Data and Workings'!$A$79</c:f>
              <c:strCache>
                <c:ptCount val="1"/>
                <c:pt idx="0">
                  <c:v>Current</c:v>
                </c:pt>
              </c:strCache>
            </c:strRef>
          </c:tx>
          <c:invertIfNegative val="0"/>
          <c:cat>
            <c:numRef>
              <c:f>'Graph Data and Workings'!$B$78:$M$78</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Workings'!$B$79:$M$79</c:f>
              <c:numCache>
                <c:formatCode>0.00%</c:formatCode>
                <c:ptCount val="12"/>
                <c:pt idx="0">
                  <c:v>0.83333333333333337</c:v>
                </c:pt>
                <c:pt idx="1">
                  <c:v>0.85470085470085466</c:v>
                </c:pt>
                <c:pt idx="2">
                  <c:v>0.92024539877300615</c:v>
                </c:pt>
                <c:pt idx="3">
                  <c:v>0.76190476190476186</c:v>
                </c:pt>
                <c:pt idx="4">
                  <c:v>0.91666666666666663</c:v>
                </c:pt>
                <c:pt idx="5">
                  <c:v>0</c:v>
                </c:pt>
                <c:pt idx="6">
                  <c:v>0</c:v>
                </c:pt>
                <c:pt idx="7">
                  <c:v>0</c:v>
                </c:pt>
                <c:pt idx="8">
                  <c:v>0</c:v>
                </c:pt>
                <c:pt idx="9">
                  <c:v>0</c:v>
                </c:pt>
                <c:pt idx="10">
                  <c:v>0</c:v>
                </c:pt>
                <c:pt idx="11">
                  <c:v>0</c:v>
                </c:pt>
              </c:numCache>
            </c:numRef>
          </c:val>
        </c:ser>
        <c:ser>
          <c:idx val="1"/>
          <c:order val="1"/>
          <c:tx>
            <c:strRef>
              <c:f>'Graph Data and Workings'!$A$80</c:f>
              <c:strCache>
                <c:ptCount val="1"/>
                <c:pt idx="0">
                  <c:v>One month overdue</c:v>
                </c:pt>
              </c:strCache>
            </c:strRef>
          </c:tx>
          <c:invertIfNegative val="0"/>
          <c:cat>
            <c:numRef>
              <c:f>'Graph Data and Workings'!$B$78:$M$78</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Workings'!$B$80:$M$80</c:f>
              <c:numCache>
                <c:formatCode>0.00%</c:formatCode>
                <c:ptCount val="12"/>
                <c:pt idx="0">
                  <c:v>0.16666666666666666</c:v>
                </c:pt>
                <c:pt idx="1">
                  <c:v>5.9829059829059832E-2</c:v>
                </c:pt>
                <c:pt idx="2">
                  <c:v>5.112474437627812E-2</c:v>
                </c:pt>
                <c:pt idx="3">
                  <c:v>9.5238095238095233E-2</c:v>
                </c:pt>
                <c:pt idx="4">
                  <c:v>8.3333333333333329E-2</c:v>
                </c:pt>
                <c:pt idx="5">
                  <c:v>0</c:v>
                </c:pt>
                <c:pt idx="6">
                  <c:v>0</c:v>
                </c:pt>
                <c:pt idx="7">
                  <c:v>0</c:v>
                </c:pt>
                <c:pt idx="8">
                  <c:v>0</c:v>
                </c:pt>
                <c:pt idx="9">
                  <c:v>0</c:v>
                </c:pt>
                <c:pt idx="10">
                  <c:v>0</c:v>
                </c:pt>
                <c:pt idx="11">
                  <c:v>0</c:v>
                </c:pt>
              </c:numCache>
            </c:numRef>
          </c:val>
        </c:ser>
        <c:ser>
          <c:idx val="2"/>
          <c:order val="2"/>
          <c:tx>
            <c:strRef>
              <c:f>'Graph Data and Workings'!$A$81</c:f>
              <c:strCache>
                <c:ptCount val="1"/>
                <c:pt idx="0">
                  <c:v>Two months overdue</c:v>
                </c:pt>
              </c:strCache>
            </c:strRef>
          </c:tx>
          <c:invertIfNegative val="0"/>
          <c:cat>
            <c:numRef>
              <c:f>'Graph Data and Workings'!$B$78:$M$78</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Workings'!$B$81:$M$81</c:f>
              <c:numCache>
                <c:formatCode>0.00%</c:formatCode>
                <c:ptCount val="12"/>
                <c:pt idx="0">
                  <c:v>0</c:v>
                </c:pt>
                <c:pt idx="1">
                  <c:v>8.5470085470085472E-2</c:v>
                </c:pt>
                <c:pt idx="2">
                  <c:v>2.8629856850715747E-2</c:v>
                </c:pt>
                <c:pt idx="3">
                  <c:v>9.5238095238095233E-2</c:v>
                </c:pt>
                <c:pt idx="4">
                  <c:v>0</c:v>
                </c:pt>
                <c:pt idx="5">
                  <c:v>0</c:v>
                </c:pt>
                <c:pt idx="6">
                  <c:v>0</c:v>
                </c:pt>
                <c:pt idx="7">
                  <c:v>0</c:v>
                </c:pt>
                <c:pt idx="8">
                  <c:v>0</c:v>
                </c:pt>
                <c:pt idx="9">
                  <c:v>0</c:v>
                </c:pt>
                <c:pt idx="10">
                  <c:v>0</c:v>
                </c:pt>
                <c:pt idx="11">
                  <c:v>0</c:v>
                </c:pt>
              </c:numCache>
            </c:numRef>
          </c:val>
        </c:ser>
        <c:ser>
          <c:idx val="3"/>
          <c:order val="3"/>
          <c:tx>
            <c:strRef>
              <c:f>'Graph Data and Workings'!$A$82</c:f>
              <c:strCache>
                <c:ptCount val="1"/>
                <c:pt idx="0">
                  <c:v>Three months or more overdue</c:v>
                </c:pt>
              </c:strCache>
            </c:strRef>
          </c:tx>
          <c:invertIfNegative val="0"/>
          <c:cat>
            <c:numRef>
              <c:f>'Graph Data and Workings'!$B$78:$M$78</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Workings'!$B$82:$M$82</c:f>
              <c:numCache>
                <c:formatCode>0.00%</c:formatCode>
                <c:ptCount val="12"/>
                <c:pt idx="0">
                  <c:v>0</c:v>
                </c:pt>
                <c:pt idx="1">
                  <c:v>0</c:v>
                </c:pt>
                <c:pt idx="2">
                  <c:v>0</c:v>
                </c:pt>
                <c:pt idx="3">
                  <c:v>4.7619047619047616E-2</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55"/>
        <c:overlap val="100"/>
        <c:axId val="184429184"/>
        <c:axId val="184435072"/>
      </c:barChart>
      <c:dateAx>
        <c:axId val="184429184"/>
        <c:scaling>
          <c:orientation val="minMax"/>
        </c:scaling>
        <c:delete val="0"/>
        <c:axPos val="b"/>
        <c:numFmt formatCode="mmm\-yy" sourceLinked="1"/>
        <c:majorTickMark val="none"/>
        <c:minorTickMark val="none"/>
        <c:tickLblPos val="nextTo"/>
        <c:txPr>
          <a:bodyPr/>
          <a:lstStyle/>
          <a:p>
            <a:pPr>
              <a:defRPr sz="800" baseline="0"/>
            </a:pPr>
            <a:endParaRPr lang="en-US"/>
          </a:p>
        </c:txPr>
        <c:crossAx val="184435072"/>
        <c:crosses val="autoZero"/>
        <c:auto val="1"/>
        <c:lblOffset val="100"/>
        <c:baseTimeUnit val="months"/>
      </c:dateAx>
      <c:valAx>
        <c:axId val="184435072"/>
        <c:scaling>
          <c:orientation val="minMax"/>
        </c:scaling>
        <c:delete val="0"/>
        <c:axPos val="l"/>
        <c:majorGridlines/>
        <c:numFmt formatCode="0%" sourceLinked="1"/>
        <c:majorTickMark val="none"/>
        <c:minorTickMark val="none"/>
        <c:tickLblPos val="nextTo"/>
        <c:crossAx val="184429184"/>
        <c:crosses val="autoZero"/>
        <c:crossBetween val="between"/>
      </c:valAx>
    </c:plotArea>
    <c:legend>
      <c:legendPos val="r"/>
      <c:layout>
        <c:manualLayout>
          <c:xMode val="edge"/>
          <c:yMode val="edge"/>
          <c:x val="0.77031802120141346"/>
          <c:y val="0.17951044665672297"/>
          <c:w val="0.21554770318021202"/>
          <c:h val="0.74790985928521048"/>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Cashflow Budget, Actual and Forecast</a:t>
            </a:r>
          </a:p>
        </c:rich>
      </c:tx>
      <c:overlay val="0"/>
    </c:title>
    <c:autoTitleDeleted val="0"/>
    <c:plotArea>
      <c:layout/>
      <c:lineChart>
        <c:grouping val="standard"/>
        <c:varyColors val="0"/>
        <c:ser>
          <c:idx val="0"/>
          <c:order val="0"/>
          <c:tx>
            <c:strRef>
              <c:f>'Graph Data and Workings'!$C$90</c:f>
              <c:strCache>
                <c:ptCount val="1"/>
                <c:pt idx="0">
                  <c:v>Budget</c:v>
                </c:pt>
              </c:strCache>
            </c:strRef>
          </c:tx>
          <c:cat>
            <c:numRef>
              <c:f>'Graph Data and Workings'!$B$91:$B$102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Workings'!$C$91:$C$102</c:f>
              <c:numCache>
                <c:formatCode>_-"$"* #,##0_-;\-"$"* #,##0_-;_-"$"* "-"??_-;_-@_-</c:formatCode>
                <c:ptCount val="12"/>
                <c:pt idx="0">
                  <c:v>120</c:v>
                </c:pt>
                <c:pt idx="1">
                  <c:v>100</c:v>
                </c:pt>
                <c:pt idx="2">
                  <c:v>-30</c:v>
                </c:pt>
                <c:pt idx="3">
                  <c:v>100</c:v>
                </c:pt>
                <c:pt idx="4">
                  <c:v>120</c:v>
                </c:pt>
                <c:pt idx="5">
                  <c:v>90</c:v>
                </c:pt>
                <c:pt idx="6">
                  <c:v>60</c:v>
                </c:pt>
                <c:pt idx="7">
                  <c:v>90</c:v>
                </c:pt>
                <c:pt idx="8">
                  <c:v>85</c:v>
                </c:pt>
                <c:pt idx="9">
                  <c:v>110</c:v>
                </c:pt>
                <c:pt idx="10">
                  <c:v>70</c:v>
                </c:pt>
                <c:pt idx="11">
                  <c:v>65</c:v>
                </c:pt>
              </c:numCache>
            </c:numRef>
          </c:val>
          <c:smooth val="0"/>
        </c:ser>
        <c:ser>
          <c:idx val="1"/>
          <c:order val="1"/>
          <c:tx>
            <c:strRef>
              <c:f>'Graph Data and Workings'!$D$90</c:f>
              <c:strCache>
                <c:ptCount val="1"/>
                <c:pt idx="0">
                  <c:v>Actual</c:v>
                </c:pt>
              </c:strCache>
            </c:strRef>
          </c:tx>
          <c:cat>
            <c:numRef>
              <c:f>'Graph Data and Workings'!$B$91:$B$102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Workings'!$D$91:$D$102</c:f>
              <c:numCache>
                <c:formatCode>_-"$"* #,##0_-;\-"$"* #,##0_-;_-"$"* "-"??_-;_-@_-</c:formatCode>
                <c:ptCount val="12"/>
                <c:pt idx="0">
                  <c:v>1130</c:v>
                </c:pt>
                <c:pt idx="1">
                  <c:v>1160</c:v>
                </c:pt>
                <c:pt idx="2">
                  <c:v>1010</c:v>
                </c:pt>
                <c:pt idx="3">
                  <c:v>1180</c:v>
                </c:pt>
                <c:pt idx="4">
                  <c:v>1120</c:v>
                </c:pt>
                <c:pt idx="5">
                  <c:v>#N/A</c:v>
                </c:pt>
                <c:pt idx="6">
                  <c:v>#N/A</c:v>
                </c:pt>
                <c:pt idx="7">
                  <c:v>#N/A</c:v>
                </c:pt>
                <c:pt idx="8">
                  <c:v>#N/A</c:v>
                </c:pt>
                <c:pt idx="9">
                  <c:v>#N/A</c:v>
                </c:pt>
                <c:pt idx="10">
                  <c:v>#N/A</c:v>
                </c:pt>
                <c:pt idx="11">
                  <c:v>#N/A</c:v>
                </c:pt>
              </c:numCache>
            </c:numRef>
          </c:val>
          <c:smooth val="0"/>
        </c:ser>
        <c:ser>
          <c:idx val="2"/>
          <c:order val="2"/>
          <c:tx>
            <c:strRef>
              <c:f>'Graph Data and Workings'!$E$90</c:f>
              <c:strCache>
                <c:ptCount val="1"/>
                <c:pt idx="0">
                  <c:v>Latest Forecast</c:v>
                </c:pt>
              </c:strCache>
            </c:strRef>
          </c:tx>
          <c:cat>
            <c:numRef>
              <c:f>'Graph Data and Workings'!$B$91:$B$102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Workings'!$E$91:$E$102</c:f>
              <c:numCache>
                <c:formatCode>_-"$"* #,##0_-;\-"$"* #,##0_-;_-"$"* "-"??_-;_-@_-</c:formatCode>
                <c:ptCount val="12"/>
                <c:pt idx="0">
                  <c:v>#N/A</c:v>
                </c:pt>
                <c:pt idx="1">
                  <c:v>#N/A</c:v>
                </c:pt>
                <c:pt idx="2">
                  <c:v>#N/A</c:v>
                </c:pt>
                <c:pt idx="3">
                  <c:v>#N/A</c:v>
                </c:pt>
                <c:pt idx="4">
                  <c:v>#N/A</c:v>
                </c:pt>
                <c:pt idx="5">
                  <c:v>1090</c:v>
                </c:pt>
                <c:pt idx="6">
                  <c:v>1060</c:v>
                </c:pt>
                <c:pt idx="7">
                  <c:v>1090</c:v>
                </c:pt>
                <c:pt idx="8">
                  <c:v>1085</c:v>
                </c:pt>
                <c:pt idx="9">
                  <c:v>1110</c:v>
                </c:pt>
                <c:pt idx="10">
                  <c:v>1070</c:v>
                </c:pt>
                <c:pt idx="11">
                  <c:v>1065</c:v>
                </c:pt>
              </c:numCache>
            </c:numRef>
          </c:val>
          <c:smooth val="0"/>
        </c:ser>
        <c:dLbls>
          <c:showLegendKey val="0"/>
          <c:showVal val="0"/>
          <c:showCatName val="0"/>
          <c:showSerName val="0"/>
          <c:showPercent val="0"/>
          <c:showBubbleSize val="0"/>
        </c:dLbls>
        <c:marker val="1"/>
        <c:smooth val="0"/>
        <c:axId val="184469760"/>
        <c:axId val="184479744"/>
      </c:lineChart>
      <c:dateAx>
        <c:axId val="184469760"/>
        <c:scaling>
          <c:orientation val="minMax"/>
        </c:scaling>
        <c:delete val="0"/>
        <c:axPos val="b"/>
        <c:numFmt formatCode="mmm\-yy" sourceLinked="1"/>
        <c:majorTickMark val="none"/>
        <c:minorTickMark val="none"/>
        <c:tickLblPos val="nextTo"/>
        <c:txPr>
          <a:bodyPr/>
          <a:lstStyle/>
          <a:p>
            <a:pPr>
              <a:defRPr sz="800" baseline="0"/>
            </a:pPr>
            <a:endParaRPr lang="en-US"/>
          </a:p>
        </c:txPr>
        <c:crossAx val="184479744"/>
        <c:crosses val="autoZero"/>
        <c:auto val="1"/>
        <c:lblOffset val="100"/>
        <c:baseTimeUnit val="months"/>
      </c:dateAx>
      <c:valAx>
        <c:axId val="184479744"/>
        <c:scaling>
          <c:orientation val="minMax"/>
        </c:scaling>
        <c:delete val="0"/>
        <c:axPos val="l"/>
        <c:majorGridlines/>
        <c:numFmt formatCode="_-&quot;$&quot;* #,##0_-;\-&quot;$&quot;* #,##0_-;_-&quot;$&quot;* &quot;-&quot;??_-;_-@_-" sourceLinked="1"/>
        <c:majorTickMark val="none"/>
        <c:minorTickMark val="none"/>
        <c:tickLblPos val="nextTo"/>
        <c:crossAx val="184469760"/>
        <c:crosses val="autoZero"/>
        <c:crossBetween val="between"/>
      </c:valAx>
    </c:plotArea>
    <c:legend>
      <c:legendPos val="r"/>
      <c:overlay val="0"/>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000" baseline="0"/>
              <a:t>Grant Funding</a:t>
            </a:r>
          </a:p>
        </c:rich>
      </c:tx>
      <c:overlay val="0"/>
    </c:title>
    <c:autoTitleDeleted val="0"/>
    <c:plotArea>
      <c:layout/>
      <c:lineChart>
        <c:grouping val="standard"/>
        <c:varyColors val="0"/>
        <c:ser>
          <c:idx val="0"/>
          <c:order val="0"/>
          <c:tx>
            <c:strRef>
              <c:f>'Graph Data and Workings'!$A$127</c:f>
              <c:strCache>
                <c:ptCount val="1"/>
                <c:pt idx="0">
                  <c:v>Budgeted</c:v>
                </c:pt>
              </c:strCache>
            </c:strRef>
          </c:tx>
          <c:marker>
            <c:symbol val="none"/>
          </c:marker>
          <c:cat>
            <c:numRef>
              <c:f>'Graph Data and Workings'!$B$126:$M$126</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Workings'!$B$127:$M$127</c:f>
              <c:numCache>
                <c:formatCode>_-"$"* #,##0_-;\-"$"* #,##0_-;_-"$"* "-"??_-;_-@_-</c:formatCode>
                <c:ptCount val="12"/>
                <c:pt idx="0">
                  <c:v>927</c:v>
                </c:pt>
                <c:pt idx="1">
                  <c:v>1977</c:v>
                </c:pt>
                <c:pt idx="2">
                  <c:v>2853</c:v>
                </c:pt>
                <c:pt idx="3">
                  <c:v>3753</c:v>
                </c:pt>
                <c:pt idx="4">
                  <c:v>4653</c:v>
                </c:pt>
                <c:pt idx="5">
                  <c:v>5753</c:v>
                </c:pt>
                <c:pt idx="6">
                  <c:v>6703</c:v>
                </c:pt>
                <c:pt idx="7">
                  <c:v>7603</c:v>
                </c:pt>
                <c:pt idx="8">
                  <c:v>8503</c:v>
                </c:pt>
                <c:pt idx="9">
                  <c:v>9403</c:v>
                </c:pt>
                <c:pt idx="10">
                  <c:v>10303</c:v>
                </c:pt>
                <c:pt idx="11">
                  <c:v>11203</c:v>
                </c:pt>
              </c:numCache>
            </c:numRef>
          </c:val>
          <c:smooth val="0"/>
        </c:ser>
        <c:ser>
          <c:idx val="1"/>
          <c:order val="1"/>
          <c:tx>
            <c:strRef>
              <c:f>'Graph Data and Workings'!$A$128</c:f>
              <c:strCache>
                <c:ptCount val="1"/>
                <c:pt idx="0">
                  <c:v>Confirmed</c:v>
                </c:pt>
              </c:strCache>
            </c:strRef>
          </c:tx>
          <c:marker>
            <c:symbol val="none"/>
          </c:marker>
          <c:cat>
            <c:numRef>
              <c:f>'Graph Data and Workings'!$B$126:$M$126</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Workings'!$B$128:$M$128</c:f>
              <c:numCache>
                <c:formatCode>_-"$"* #,##0_-;\-"$"* #,##0_-;_-"$"* "-"??_-;_-@_-</c:formatCode>
                <c:ptCount val="12"/>
                <c:pt idx="0">
                  <c:v>650</c:v>
                </c:pt>
                <c:pt idx="1">
                  <c:v>1525</c:v>
                </c:pt>
                <c:pt idx="2">
                  <c:v>2785</c:v>
                </c:pt>
                <c:pt idx="3">
                  <c:v>3645</c:v>
                </c:pt>
                <c:pt idx="4">
                  <c:v>4845</c:v>
                </c:pt>
                <c:pt idx="5">
                  <c:v>4845</c:v>
                </c:pt>
                <c:pt idx="6">
                  <c:v>4845</c:v>
                </c:pt>
                <c:pt idx="7">
                  <c:v>4845</c:v>
                </c:pt>
                <c:pt idx="8">
                  <c:v>4845</c:v>
                </c:pt>
                <c:pt idx="9">
                  <c:v>4845</c:v>
                </c:pt>
                <c:pt idx="10">
                  <c:v>4845</c:v>
                </c:pt>
                <c:pt idx="11">
                  <c:v>4845</c:v>
                </c:pt>
              </c:numCache>
            </c:numRef>
          </c:val>
          <c:smooth val="0"/>
        </c:ser>
        <c:ser>
          <c:idx val="2"/>
          <c:order val="2"/>
          <c:tx>
            <c:strRef>
              <c:f>'Graph Data and Workings'!$A$129</c:f>
              <c:strCache>
                <c:ptCount val="1"/>
                <c:pt idx="0">
                  <c:v>Forecast</c:v>
                </c:pt>
              </c:strCache>
            </c:strRef>
          </c:tx>
          <c:marker>
            <c:symbol val="none"/>
          </c:marker>
          <c:cat>
            <c:numRef>
              <c:f>'Graph Data and Workings'!$B$126:$M$126</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Workings'!$B$129:$M$129</c:f>
              <c:numCache>
                <c:formatCode>_-"$"* #,##0_-;\-"$"* #,##0_-;_-"$"* "-"??_-;_-@_-</c:formatCode>
                <c:ptCount val="12"/>
                <c:pt idx="0">
                  <c:v>650</c:v>
                </c:pt>
                <c:pt idx="1">
                  <c:v>1525</c:v>
                </c:pt>
                <c:pt idx="2">
                  <c:v>2785</c:v>
                </c:pt>
                <c:pt idx="3">
                  <c:v>3645</c:v>
                </c:pt>
                <c:pt idx="4">
                  <c:v>4845</c:v>
                </c:pt>
                <c:pt idx="5">
                  <c:v>5500</c:v>
                </c:pt>
                <c:pt idx="6">
                  <c:v>6200</c:v>
                </c:pt>
                <c:pt idx="7">
                  <c:v>6800</c:v>
                </c:pt>
                <c:pt idx="8">
                  <c:v>7000</c:v>
                </c:pt>
                <c:pt idx="9">
                  <c:v>8000</c:v>
                </c:pt>
                <c:pt idx="10">
                  <c:v>8500</c:v>
                </c:pt>
                <c:pt idx="11">
                  <c:v>9500</c:v>
                </c:pt>
              </c:numCache>
            </c:numRef>
          </c:val>
          <c:smooth val="0"/>
        </c:ser>
        <c:dLbls>
          <c:showLegendKey val="0"/>
          <c:showVal val="0"/>
          <c:showCatName val="0"/>
          <c:showSerName val="0"/>
          <c:showPercent val="0"/>
          <c:showBubbleSize val="0"/>
        </c:dLbls>
        <c:marker val="1"/>
        <c:smooth val="0"/>
        <c:axId val="184571776"/>
        <c:axId val="184573312"/>
      </c:lineChart>
      <c:dateAx>
        <c:axId val="184571776"/>
        <c:scaling>
          <c:orientation val="minMax"/>
        </c:scaling>
        <c:delete val="0"/>
        <c:axPos val="b"/>
        <c:numFmt formatCode="mmm\-yy" sourceLinked="1"/>
        <c:majorTickMark val="none"/>
        <c:minorTickMark val="none"/>
        <c:tickLblPos val="nextTo"/>
        <c:crossAx val="184573312"/>
        <c:crosses val="autoZero"/>
        <c:auto val="1"/>
        <c:lblOffset val="100"/>
        <c:baseTimeUnit val="months"/>
      </c:dateAx>
      <c:valAx>
        <c:axId val="184573312"/>
        <c:scaling>
          <c:orientation val="minMax"/>
        </c:scaling>
        <c:delete val="0"/>
        <c:axPos val="l"/>
        <c:majorGridlines/>
        <c:numFmt formatCode="_-&quot;$&quot;* #,##0_-;\-&quot;$&quot;* #,##0_-;_-&quot;$&quot;* &quot;-&quot;??_-;_-@_-" sourceLinked="1"/>
        <c:majorTickMark val="none"/>
        <c:minorTickMark val="none"/>
        <c:tickLblPos val="nextTo"/>
        <c:crossAx val="184571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Sponsorship Income</a:t>
            </a:r>
          </a:p>
        </c:rich>
      </c:tx>
      <c:overlay val="0"/>
    </c:title>
    <c:autoTitleDeleted val="0"/>
    <c:plotArea>
      <c:layout/>
      <c:lineChart>
        <c:grouping val="standard"/>
        <c:varyColors val="0"/>
        <c:ser>
          <c:idx val="0"/>
          <c:order val="0"/>
          <c:tx>
            <c:strRef>
              <c:f>'Graph Data and Workings'!$A$132</c:f>
              <c:strCache>
                <c:ptCount val="1"/>
                <c:pt idx="0">
                  <c:v>Budgeted</c:v>
                </c:pt>
              </c:strCache>
            </c:strRef>
          </c:tx>
          <c:marker>
            <c:symbol val="none"/>
          </c:marker>
          <c:cat>
            <c:numRef>
              <c:f>'Graph Data and Workings'!$B$131:$M$131</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Workings'!$B$132:$M$132</c:f>
              <c:numCache>
                <c:formatCode>_-"$"* #,##0_-;\-"$"* #,##0_-;_-"$"* "-"??_-;_-@_-</c:formatCode>
                <c:ptCount val="12"/>
                <c:pt idx="0">
                  <c:v>200</c:v>
                </c:pt>
                <c:pt idx="1">
                  <c:v>400</c:v>
                </c:pt>
                <c:pt idx="2">
                  <c:v>600</c:v>
                </c:pt>
                <c:pt idx="3">
                  <c:v>800</c:v>
                </c:pt>
                <c:pt idx="4">
                  <c:v>1000</c:v>
                </c:pt>
                <c:pt idx="5">
                  <c:v>1200</c:v>
                </c:pt>
                <c:pt idx="6">
                  <c:v>1400</c:v>
                </c:pt>
                <c:pt idx="7">
                  <c:v>1600</c:v>
                </c:pt>
                <c:pt idx="8">
                  <c:v>1800</c:v>
                </c:pt>
                <c:pt idx="9">
                  <c:v>2000</c:v>
                </c:pt>
                <c:pt idx="10">
                  <c:v>2200</c:v>
                </c:pt>
                <c:pt idx="11">
                  <c:v>2400</c:v>
                </c:pt>
              </c:numCache>
            </c:numRef>
          </c:val>
          <c:smooth val="0"/>
        </c:ser>
        <c:ser>
          <c:idx val="1"/>
          <c:order val="1"/>
          <c:tx>
            <c:strRef>
              <c:f>'Graph Data and Workings'!$A$133</c:f>
              <c:strCache>
                <c:ptCount val="1"/>
                <c:pt idx="0">
                  <c:v>Confirmed</c:v>
                </c:pt>
              </c:strCache>
            </c:strRef>
          </c:tx>
          <c:marker>
            <c:symbol val="none"/>
          </c:marker>
          <c:cat>
            <c:numRef>
              <c:f>'Graph Data and Workings'!$B$131:$M$131</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Workings'!$B$133:$M$133</c:f>
              <c:numCache>
                <c:formatCode>_-"$"* #,##0_-;\-"$"* #,##0_-;_-"$"* "-"??_-;_-@_-</c:formatCode>
                <c:ptCount val="12"/>
                <c:pt idx="0">
                  <c:v>200</c:v>
                </c:pt>
                <c:pt idx="1">
                  <c:v>355</c:v>
                </c:pt>
                <c:pt idx="2">
                  <c:v>535</c:v>
                </c:pt>
                <c:pt idx="3">
                  <c:v>720</c:v>
                </c:pt>
                <c:pt idx="4">
                  <c:v>970</c:v>
                </c:pt>
                <c:pt idx="5">
                  <c:v>970</c:v>
                </c:pt>
                <c:pt idx="6">
                  <c:v>970</c:v>
                </c:pt>
                <c:pt idx="7">
                  <c:v>970</c:v>
                </c:pt>
                <c:pt idx="8">
                  <c:v>970</c:v>
                </c:pt>
                <c:pt idx="9">
                  <c:v>970</c:v>
                </c:pt>
                <c:pt idx="10">
                  <c:v>970</c:v>
                </c:pt>
                <c:pt idx="11">
                  <c:v>970</c:v>
                </c:pt>
              </c:numCache>
            </c:numRef>
          </c:val>
          <c:smooth val="0"/>
        </c:ser>
        <c:ser>
          <c:idx val="2"/>
          <c:order val="2"/>
          <c:tx>
            <c:strRef>
              <c:f>'Graph Data and Workings'!$A$134</c:f>
              <c:strCache>
                <c:ptCount val="1"/>
                <c:pt idx="0">
                  <c:v>Forecast</c:v>
                </c:pt>
              </c:strCache>
            </c:strRef>
          </c:tx>
          <c:marker>
            <c:symbol val="none"/>
          </c:marker>
          <c:cat>
            <c:numRef>
              <c:f>'Graph Data and Workings'!$B$131:$M$131</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Workings'!$B$134:$M$134</c:f>
              <c:numCache>
                <c:formatCode>_-"$"* #,##0_-;\-"$"* #,##0_-;_-"$"* "-"??_-;_-@_-</c:formatCode>
                <c:ptCount val="12"/>
                <c:pt idx="0">
                  <c:v>200</c:v>
                </c:pt>
                <c:pt idx="1">
                  <c:v>355</c:v>
                </c:pt>
                <c:pt idx="2">
                  <c:v>535</c:v>
                </c:pt>
                <c:pt idx="3">
                  <c:v>720</c:v>
                </c:pt>
                <c:pt idx="4">
                  <c:v>970</c:v>
                </c:pt>
                <c:pt idx="5">
                  <c:v>1300</c:v>
                </c:pt>
                <c:pt idx="6">
                  <c:v>1450</c:v>
                </c:pt>
                <c:pt idx="7">
                  <c:v>1680</c:v>
                </c:pt>
                <c:pt idx="8">
                  <c:v>1890</c:v>
                </c:pt>
                <c:pt idx="9">
                  <c:v>2200</c:v>
                </c:pt>
                <c:pt idx="10">
                  <c:v>2400</c:v>
                </c:pt>
                <c:pt idx="11">
                  <c:v>2800</c:v>
                </c:pt>
              </c:numCache>
            </c:numRef>
          </c:val>
          <c:smooth val="0"/>
        </c:ser>
        <c:dLbls>
          <c:showLegendKey val="0"/>
          <c:showVal val="0"/>
          <c:showCatName val="0"/>
          <c:showSerName val="0"/>
          <c:showPercent val="0"/>
          <c:showBubbleSize val="0"/>
        </c:dLbls>
        <c:marker val="1"/>
        <c:smooth val="0"/>
        <c:axId val="184611968"/>
        <c:axId val="184613504"/>
      </c:lineChart>
      <c:dateAx>
        <c:axId val="184611968"/>
        <c:scaling>
          <c:orientation val="minMax"/>
        </c:scaling>
        <c:delete val="0"/>
        <c:axPos val="b"/>
        <c:numFmt formatCode="mmm\-yy" sourceLinked="1"/>
        <c:majorTickMark val="none"/>
        <c:minorTickMark val="none"/>
        <c:tickLblPos val="nextTo"/>
        <c:crossAx val="184613504"/>
        <c:crosses val="autoZero"/>
        <c:auto val="1"/>
        <c:lblOffset val="100"/>
        <c:baseTimeUnit val="months"/>
      </c:dateAx>
      <c:valAx>
        <c:axId val="184613504"/>
        <c:scaling>
          <c:orientation val="minMax"/>
        </c:scaling>
        <c:delete val="0"/>
        <c:axPos val="l"/>
        <c:majorGridlines/>
        <c:numFmt formatCode="_-&quot;$&quot;* #,##0_-;\-&quot;$&quot;* #,##0_-;_-&quot;$&quot;* &quot;-&quot;??_-;_-@_-" sourceLinked="1"/>
        <c:majorTickMark val="none"/>
        <c:minorTickMark val="none"/>
        <c:tickLblPos val="nextTo"/>
        <c:crossAx val="1846119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Cashflow Budget, Actual and Forecast</a:t>
            </a:r>
          </a:p>
        </c:rich>
      </c:tx>
      <c:overlay val="0"/>
    </c:title>
    <c:autoTitleDeleted val="0"/>
    <c:plotArea>
      <c:layout>
        <c:manualLayout>
          <c:layoutTarget val="inner"/>
          <c:xMode val="edge"/>
          <c:yMode val="edge"/>
          <c:x val="0.10310310576928414"/>
          <c:y val="0.14665194000071258"/>
          <c:w val="0.70084788192688108"/>
          <c:h val="0.69189598597034019"/>
        </c:manualLayout>
      </c:layout>
      <c:lineChart>
        <c:grouping val="standard"/>
        <c:varyColors val="0"/>
        <c:ser>
          <c:idx val="0"/>
          <c:order val="0"/>
          <c:tx>
            <c:strRef>
              <c:f>'Graph Data and Workings'!$C$90</c:f>
              <c:strCache>
                <c:ptCount val="1"/>
                <c:pt idx="0">
                  <c:v>Budget</c:v>
                </c:pt>
              </c:strCache>
            </c:strRef>
          </c:tx>
          <c:cat>
            <c:numRef>
              <c:f>'Graph Data and Workings'!$B$91:$B$102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Workings'!$C$91:$C$102</c:f>
              <c:numCache>
                <c:formatCode>_-"$"* #,##0_-;\-"$"* #,##0_-;_-"$"* "-"??_-;_-@_-</c:formatCode>
                <c:ptCount val="12"/>
                <c:pt idx="0">
                  <c:v>120</c:v>
                </c:pt>
                <c:pt idx="1">
                  <c:v>100</c:v>
                </c:pt>
                <c:pt idx="2">
                  <c:v>-30</c:v>
                </c:pt>
                <c:pt idx="3">
                  <c:v>100</c:v>
                </c:pt>
                <c:pt idx="4">
                  <c:v>120</c:v>
                </c:pt>
                <c:pt idx="5">
                  <c:v>90</c:v>
                </c:pt>
                <c:pt idx="6">
                  <c:v>60</c:v>
                </c:pt>
                <c:pt idx="7">
                  <c:v>90</c:v>
                </c:pt>
                <c:pt idx="8">
                  <c:v>85</c:v>
                </c:pt>
                <c:pt idx="9">
                  <c:v>110</c:v>
                </c:pt>
                <c:pt idx="10">
                  <c:v>70</c:v>
                </c:pt>
                <c:pt idx="11">
                  <c:v>65</c:v>
                </c:pt>
              </c:numCache>
            </c:numRef>
          </c:val>
          <c:smooth val="0"/>
        </c:ser>
        <c:ser>
          <c:idx val="1"/>
          <c:order val="1"/>
          <c:tx>
            <c:strRef>
              <c:f>'Graph Data and Workings'!$D$90</c:f>
              <c:strCache>
                <c:ptCount val="1"/>
                <c:pt idx="0">
                  <c:v>Actual</c:v>
                </c:pt>
              </c:strCache>
            </c:strRef>
          </c:tx>
          <c:cat>
            <c:numRef>
              <c:f>'Graph Data and Workings'!$B$91:$B$102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Workings'!$D$91:$D$102</c:f>
              <c:numCache>
                <c:formatCode>_-"$"* #,##0_-;\-"$"* #,##0_-;_-"$"* "-"??_-;_-@_-</c:formatCode>
                <c:ptCount val="12"/>
                <c:pt idx="0">
                  <c:v>1130</c:v>
                </c:pt>
                <c:pt idx="1">
                  <c:v>1160</c:v>
                </c:pt>
                <c:pt idx="2">
                  <c:v>1010</c:v>
                </c:pt>
                <c:pt idx="3">
                  <c:v>1180</c:v>
                </c:pt>
                <c:pt idx="4">
                  <c:v>1120</c:v>
                </c:pt>
                <c:pt idx="5">
                  <c:v>#N/A</c:v>
                </c:pt>
                <c:pt idx="6">
                  <c:v>#N/A</c:v>
                </c:pt>
                <c:pt idx="7">
                  <c:v>#N/A</c:v>
                </c:pt>
                <c:pt idx="8">
                  <c:v>#N/A</c:v>
                </c:pt>
                <c:pt idx="9">
                  <c:v>#N/A</c:v>
                </c:pt>
                <c:pt idx="10">
                  <c:v>#N/A</c:v>
                </c:pt>
                <c:pt idx="11">
                  <c:v>#N/A</c:v>
                </c:pt>
              </c:numCache>
            </c:numRef>
          </c:val>
          <c:smooth val="0"/>
        </c:ser>
        <c:ser>
          <c:idx val="2"/>
          <c:order val="2"/>
          <c:tx>
            <c:strRef>
              <c:f>'Graph Data and Workings'!$E$90</c:f>
              <c:strCache>
                <c:ptCount val="1"/>
                <c:pt idx="0">
                  <c:v>Latest Forecast</c:v>
                </c:pt>
              </c:strCache>
            </c:strRef>
          </c:tx>
          <c:cat>
            <c:numRef>
              <c:f>'Graph Data and Workings'!$B$91:$B$102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Workings'!$E$91:$E$102</c:f>
              <c:numCache>
                <c:formatCode>_-"$"* #,##0_-;\-"$"* #,##0_-;_-"$"* "-"??_-;_-@_-</c:formatCode>
                <c:ptCount val="12"/>
                <c:pt idx="0">
                  <c:v>#N/A</c:v>
                </c:pt>
                <c:pt idx="1">
                  <c:v>#N/A</c:v>
                </c:pt>
                <c:pt idx="2">
                  <c:v>#N/A</c:v>
                </c:pt>
                <c:pt idx="3">
                  <c:v>#N/A</c:v>
                </c:pt>
                <c:pt idx="4">
                  <c:v>#N/A</c:v>
                </c:pt>
                <c:pt idx="5">
                  <c:v>1090</c:v>
                </c:pt>
                <c:pt idx="6">
                  <c:v>1060</c:v>
                </c:pt>
                <c:pt idx="7">
                  <c:v>1090</c:v>
                </c:pt>
                <c:pt idx="8">
                  <c:v>1085</c:v>
                </c:pt>
                <c:pt idx="9">
                  <c:v>1110</c:v>
                </c:pt>
                <c:pt idx="10">
                  <c:v>1070</c:v>
                </c:pt>
                <c:pt idx="11">
                  <c:v>1065</c:v>
                </c:pt>
              </c:numCache>
            </c:numRef>
          </c:val>
          <c:smooth val="0"/>
        </c:ser>
        <c:dLbls>
          <c:showLegendKey val="0"/>
          <c:showVal val="0"/>
          <c:showCatName val="0"/>
          <c:showSerName val="0"/>
          <c:showPercent val="0"/>
          <c:showBubbleSize val="0"/>
        </c:dLbls>
        <c:marker val="1"/>
        <c:smooth val="0"/>
        <c:axId val="167797888"/>
        <c:axId val="167799424"/>
      </c:lineChart>
      <c:dateAx>
        <c:axId val="167797888"/>
        <c:scaling>
          <c:orientation val="minMax"/>
        </c:scaling>
        <c:delete val="0"/>
        <c:axPos val="b"/>
        <c:numFmt formatCode="mmm\-yy" sourceLinked="1"/>
        <c:majorTickMark val="none"/>
        <c:minorTickMark val="none"/>
        <c:tickLblPos val="nextTo"/>
        <c:txPr>
          <a:bodyPr/>
          <a:lstStyle/>
          <a:p>
            <a:pPr>
              <a:defRPr sz="800" baseline="0"/>
            </a:pPr>
            <a:endParaRPr lang="en-US"/>
          </a:p>
        </c:txPr>
        <c:crossAx val="167799424"/>
        <c:crosses val="autoZero"/>
        <c:auto val="1"/>
        <c:lblOffset val="100"/>
        <c:baseTimeUnit val="months"/>
      </c:dateAx>
      <c:valAx>
        <c:axId val="167799424"/>
        <c:scaling>
          <c:orientation val="minMax"/>
        </c:scaling>
        <c:delete val="0"/>
        <c:axPos val="l"/>
        <c:majorGridlines/>
        <c:numFmt formatCode="_-&quot;$&quot;* #,##0_-;\-&quot;$&quot;* #,##0_-;_-&quot;$&quot;* &quot;-&quot;??_-;_-@_-" sourceLinked="1"/>
        <c:majorTickMark val="none"/>
        <c:minorTickMark val="none"/>
        <c:tickLblPos val="nextTo"/>
        <c:txPr>
          <a:bodyPr/>
          <a:lstStyle/>
          <a:p>
            <a:pPr>
              <a:defRPr sz="800" baseline="0"/>
            </a:pPr>
            <a:endParaRPr lang="en-US"/>
          </a:p>
        </c:txPr>
        <c:crossAx val="167797888"/>
        <c:crosses val="autoZero"/>
        <c:crossBetween val="between"/>
      </c:valAx>
    </c:plotArea>
    <c:legend>
      <c:legendPos val="r"/>
      <c:layout>
        <c:manualLayout>
          <c:xMode val="edge"/>
          <c:yMode val="edge"/>
          <c:x val="0.83805430240881629"/>
          <c:y val="0.18915927364283083"/>
          <c:w val="0.15067015143191667"/>
          <c:h val="0.56861985012054483"/>
        </c:manualLayout>
      </c:layout>
      <c:overlay val="0"/>
      <c:txPr>
        <a:bodyPr/>
        <a:lstStyle/>
        <a:p>
          <a:pPr>
            <a:defRPr sz="800" baseline="0"/>
          </a:pPr>
          <a:endParaRPr lang="en-US"/>
        </a:p>
      </c:txPr>
    </c:legend>
    <c:plotVisOnly val="1"/>
    <c:dispBlanksAs val="gap"/>
    <c:showDLblsOverMax val="0"/>
  </c:chart>
  <c:spPr>
    <a:ln>
      <a:solidFill>
        <a:schemeClr val="tx1"/>
      </a:solidFill>
    </a:ln>
  </c:spPr>
  <c:printSettings>
    <c:headerFooter/>
    <c:pageMargins b="0.75" l="0.7" r="0.7" t="0.75" header="0.3" footer="0.3"/>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Profit Forecast</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6046955380577427"/>
          <c:y val="0.14599134567638505"/>
          <c:w val="0.80619711286089235"/>
          <c:h val="0.63856234186942851"/>
        </c:manualLayout>
      </c:layout>
      <c:bar3DChart>
        <c:barDir val="col"/>
        <c:grouping val="clustered"/>
        <c:varyColors val="0"/>
        <c:ser>
          <c:idx val="0"/>
          <c:order val="0"/>
          <c:invertIfNegative val="0"/>
          <c:dPt>
            <c:idx val="1"/>
            <c:invertIfNegative val="0"/>
            <c:bubble3D val="0"/>
            <c:spPr>
              <a:solidFill>
                <a:schemeClr val="accent2"/>
              </a:solidFill>
            </c:spPr>
          </c:dPt>
          <c:dPt>
            <c:idx val="2"/>
            <c:invertIfNegative val="0"/>
            <c:bubble3D val="0"/>
            <c:spPr>
              <a:solidFill>
                <a:srgbClr val="92D050"/>
              </a:solidFill>
            </c:spPr>
          </c:dPt>
          <c:dLbls>
            <c:showLegendKey val="0"/>
            <c:showVal val="1"/>
            <c:showCatName val="0"/>
            <c:showSerName val="0"/>
            <c:showPercent val="0"/>
            <c:showBubbleSize val="0"/>
            <c:showLeaderLines val="0"/>
          </c:dLbls>
          <c:cat>
            <c:strRef>
              <c:f>'Graph Data and Workings'!$A$52:$A$54</c:f>
              <c:strCache>
                <c:ptCount val="3"/>
                <c:pt idx="0">
                  <c:v>YTD Actual + Remaining Budget</c:v>
                </c:pt>
                <c:pt idx="1">
                  <c:v>Original Full Year Budget</c:v>
                </c:pt>
                <c:pt idx="2">
                  <c:v>Latest Full Year Forecast </c:v>
                </c:pt>
              </c:strCache>
            </c:strRef>
          </c:cat>
          <c:val>
            <c:numRef>
              <c:f>'Graph Data and Workings'!$B$52:$B$54</c:f>
              <c:numCache>
                <c:formatCode>_-"$"* #,##0_-;\-"$"* #,##0_-;_-"$"* "-"??_-;_-@_-</c:formatCode>
                <c:ptCount val="3"/>
                <c:pt idx="0">
                  <c:v>2208</c:v>
                </c:pt>
                <c:pt idx="1">
                  <c:v>2623</c:v>
                </c:pt>
                <c:pt idx="2">
                  <c:v>124</c:v>
                </c:pt>
              </c:numCache>
            </c:numRef>
          </c:val>
        </c:ser>
        <c:dLbls>
          <c:showLegendKey val="0"/>
          <c:showVal val="0"/>
          <c:showCatName val="0"/>
          <c:showSerName val="0"/>
          <c:showPercent val="0"/>
          <c:showBubbleSize val="0"/>
        </c:dLbls>
        <c:gapWidth val="150"/>
        <c:shape val="box"/>
        <c:axId val="184639872"/>
        <c:axId val="184641408"/>
        <c:axId val="0"/>
      </c:bar3DChart>
      <c:catAx>
        <c:axId val="184639872"/>
        <c:scaling>
          <c:orientation val="minMax"/>
        </c:scaling>
        <c:delete val="0"/>
        <c:axPos val="b"/>
        <c:majorTickMark val="none"/>
        <c:minorTickMark val="none"/>
        <c:tickLblPos val="nextTo"/>
        <c:txPr>
          <a:bodyPr/>
          <a:lstStyle/>
          <a:p>
            <a:pPr>
              <a:defRPr sz="800" baseline="0"/>
            </a:pPr>
            <a:endParaRPr lang="en-US"/>
          </a:p>
        </c:txPr>
        <c:crossAx val="184641408"/>
        <c:crosses val="autoZero"/>
        <c:auto val="1"/>
        <c:lblAlgn val="ctr"/>
        <c:lblOffset val="100"/>
        <c:noMultiLvlLbl val="0"/>
      </c:catAx>
      <c:valAx>
        <c:axId val="184641408"/>
        <c:scaling>
          <c:orientation val="minMax"/>
        </c:scaling>
        <c:delete val="0"/>
        <c:axPos val="l"/>
        <c:majorGridlines/>
        <c:numFmt formatCode="_-&quot;$&quot;* #,##0_-;\-&quot;$&quot;* #,##0_-;_-&quot;$&quot;* &quot;-&quot;??_-;_-@_-" sourceLinked="1"/>
        <c:majorTickMark val="none"/>
        <c:minorTickMark val="none"/>
        <c:tickLblPos val="nextTo"/>
        <c:crossAx val="184639872"/>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t>YTD</a:t>
            </a:r>
            <a:r>
              <a:rPr lang="en-NZ" baseline="0"/>
              <a:t> Net Profit By Division</a:t>
            </a:r>
            <a:endParaRPr lang="en-NZ"/>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Workings'!$A$147</c:f>
              <c:strCache>
                <c:ptCount val="1"/>
                <c:pt idx="0">
                  <c:v>Actual</c:v>
                </c:pt>
              </c:strCache>
            </c:strRef>
          </c:tx>
          <c:invertIfNegative val="0"/>
          <c:cat>
            <c:strRef>
              <c:f>'Graph Data and Workings'!$B$146:$F$146</c:f>
              <c:strCache>
                <c:ptCount val="5"/>
                <c:pt idx="0">
                  <c:v>Division 1</c:v>
                </c:pt>
                <c:pt idx="1">
                  <c:v>Division 2</c:v>
                </c:pt>
                <c:pt idx="2">
                  <c:v>Division 3</c:v>
                </c:pt>
                <c:pt idx="3">
                  <c:v>Division 4</c:v>
                </c:pt>
                <c:pt idx="4">
                  <c:v>Division 5</c:v>
                </c:pt>
              </c:strCache>
            </c:strRef>
          </c:cat>
          <c:val>
            <c:numRef>
              <c:f>'Graph Data and Workings'!$B$147:$F$147</c:f>
              <c:numCache>
                <c:formatCode>_-"$"* #,##0_-;\-"$"* #,##0_-;_-"$"* "-"??_-;_-@_-</c:formatCode>
                <c:ptCount val="5"/>
                <c:pt idx="0">
                  <c:v>32</c:v>
                </c:pt>
                <c:pt idx="1">
                  <c:v>38</c:v>
                </c:pt>
                <c:pt idx="2">
                  <c:v>32</c:v>
                </c:pt>
                <c:pt idx="3">
                  <c:v>32</c:v>
                </c:pt>
                <c:pt idx="4">
                  <c:v>32</c:v>
                </c:pt>
              </c:numCache>
            </c:numRef>
          </c:val>
        </c:ser>
        <c:ser>
          <c:idx val="1"/>
          <c:order val="1"/>
          <c:tx>
            <c:strRef>
              <c:f>'Graph Data and Workings'!$A$148</c:f>
              <c:strCache>
                <c:ptCount val="1"/>
                <c:pt idx="0">
                  <c:v>Budget </c:v>
                </c:pt>
              </c:strCache>
            </c:strRef>
          </c:tx>
          <c:invertIfNegative val="0"/>
          <c:cat>
            <c:strRef>
              <c:f>'Graph Data and Workings'!$B$146:$F$146</c:f>
              <c:strCache>
                <c:ptCount val="5"/>
                <c:pt idx="0">
                  <c:v>Division 1</c:v>
                </c:pt>
                <c:pt idx="1">
                  <c:v>Division 2</c:v>
                </c:pt>
                <c:pt idx="2">
                  <c:v>Division 3</c:v>
                </c:pt>
                <c:pt idx="3">
                  <c:v>Division 4</c:v>
                </c:pt>
                <c:pt idx="4">
                  <c:v>Division 5</c:v>
                </c:pt>
              </c:strCache>
            </c:strRef>
          </c:cat>
          <c:val>
            <c:numRef>
              <c:f>'Graph Data and Workings'!$B$148:$F$148</c:f>
              <c:numCache>
                <c:formatCode>_-"$"* #,##0_-;\-"$"* #,##0_-;_-"$"* "-"??_-;_-@_-</c:formatCode>
                <c:ptCount val="5"/>
                <c:pt idx="0">
                  <c:v>6</c:v>
                </c:pt>
                <c:pt idx="1">
                  <c:v>4</c:v>
                </c:pt>
                <c:pt idx="2">
                  <c:v>8</c:v>
                </c:pt>
                <c:pt idx="3">
                  <c:v>10</c:v>
                </c:pt>
                <c:pt idx="4">
                  <c:v>30</c:v>
                </c:pt>
              </c:numCache>
            </c:numRef>
          </c:val>
        </c:ser>
        <c:ser>
          <c:idx val="2"/>
          <c:order val="2"/>
          <c:tx>
            <c:strRef>
              <c:f>'Graph Data and Workings'!$A$149</c:f>
              <c:strCache>
                <c:ptCount val="1"/>
                <c:pt idx="0">
                  <c:v>Variance</c:v>
                </c:pt>
              </c:strCache>
            </c:strRef>
          </c:tx>
          <c:invertIfNegative val="0"/>
          <c:cat>
            <c:strRef>
              <c:f>'Graph Data and Workings'!$B$146:$F$146</c:f>
              <c:strCache>
                <c:ptCount val="5"/>
                <c:pt idx="0">
                  <c:v>Division 1</c:v>
                </c:pt>
                <c:pt idx="1">
                  <c:v>Division 2</c:v>
                </c:pt>
                <c:pt idx="2">
                  <c:v>Division 3</c:v>
                </c:pt>
                <c:pt idx="3">
                  <c:v>Division 4</c:v>
                </c:pt>
                <c:pt idx="4">
                  <c:v>Division 5</c:v>
                </c:pt>
              </c:strCache>
            </c:strRef>
          </c:cat>
          <c:val>
            <c:numRef>
              <c:f>'Graph Data and Workings'!$B$149:$F$149</c:f>
              <c:numCache>
                <c:formatCode>_-"$"* #,##0_-;\-"$"* #,##0_-;_-"$"* "-"??_-;_-@_-</c:formatCode>
                <c:ptCount val="5"/>
                <c:pt idx="0">
                  <c:v>26</c:v>
                </c:pt>
                <c:pt idx="1">
                  <c:v>34</c:v>
                </c:pt>
                <c:pt idx="2">
                  <c:v>24</c:v>
                </c:pt>
                <c:pt idx="3">
                  <c:v>22</c:v>
                </c:pt>
                <c:pt idx="4">
                  <c:v>2</c:v>
                </c:pt>
              </c:numCache>
            </c:numRef>
          </c:val>
        </c:ser>
        <c:dLbls>
          <c:showLegendKey val="0"/>
          <c:showVal val="0"/>
          <c:showCatName val="0"/>
          <c:showSerName val="0"/>
          <c:showPercent val="0"/>
          <c:showBubbleSize val="0"/>
        </c:dLbls>
        <c:gapWidth val="150"/>
        <c:shape val="box"/>
        <c:axId val="184692736"/>
        <c:axId val="184694272"/>
        <c:axId val="0"/>
      </c:bar3DChart>
      <c:catAx>
        <c:axId val="184692736"/>
        <c:scaling>
          <c:orientation val="minMax"/>
        </c:scaling>
        <c:delete val="0"/>
        <c:axPos val="b"/>
        <c:majorTickMark val="none"/>
        <c:minorTickMark val="none"/>
        <c:tickLblPos val="nextTo"/>
        <c:crossAx val="184694272"/>
        <c:crosses val="autoZero"/>
        <c:auto val="1"/>
        <c:lblAlgn val="ctr"/>
        <c:lblOffset val="100"/>
        <c:noMultiLvlLbl val="0"/>
      </c:catAx>
      <c:valAx>
        <c:axId val="184694272"/>
        <c:scaling>
          <c:orientation val="minMax"/>
        </c:scaling>
        <c:delete val="0"/>
        <c:axPos val="l"/>
        <c:majorGridlines/>
        <c:numFmt formatCode="_-&quot;$&quot;* #,##0_-;\-&quot;$&quot;* #,##0_-;_-&quot;$&quot;* &quot;-&quot;??_-;_-@_-" sourceLinked="1"/>
        <c:majorTickMark val="none"/>
        <c:minorTickMark val="none"/>
        <c:tickLblPos val="nextTo"/>
        <c:crossAx val="1846927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US" sz="1000" baseline="0"/>
              <a:t>Days Covered by Net Liquid Assets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3313711966835199E-2"/>
          <c:y val="0.18681232624613336"/>
          <c:w val="0.7278319731396683"/>
          <c:h val="0.73271749453867641"/>
        </c:manualLayout>
      </c:layout>
      <c:bar3DChart>
        <c:barDir val="col"/>
        <c:grouping val="clustered"/>
        <c:varyColors val="0"/>
        <c:ser>
          <c:idx val="0"/>
          <c:order val="0"/>
          <c:tx>
            <c:strRef>
              <c:f>'Graph Data and Workings'!$A$170</c:f>
              <c:strCache>
                <c:ptCount val="1"/>
                <c:pt idx="0">
                  <c:v>Days Cover</c:v>
                </c:pt>
              </c:strCache>
            </c:strRef>
          </c:tx>
          <c:invertIfNegative val="0"/>
          <c:cat>
            <c:numRef>
              <c:f>'Graph Data and Workings'!$B$169:$M$169</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Workings'!$B$170:$M$170</c:f>
              <c:numCache>
                <c:formatCode>0</c:formatCode>
                <c:ptCount val="12"/>
                <c:pt idx="0">
                  <c:v>28.11278929966937</c:v>
                </c:pt>
                <c:pt idx="1">
                  <c:v>44.327360637087601</c:v>
                </c:pt>
                <c:pt idx="2">
                  <c:v>28.60292437742746</c:v>
                </c:pt>
                <c:pt idx="3">
                  <c:v>47.287197820905682</c:v>
                </c:pt>
                <c:pt idx="4">
                  <c:v>2.6161252614740986</c:v>
                </c:pt>
                <c:pt idx="5">
                  <c:v>0</c:v>
                </c:pt>
                <c:pt idx="6">
                  <c:v>0</c:v>
                </c:pt>
                <c:pt idx="7">
                  <c:v>0</c:v>
                </c:pt>
                <c:pt idx="8">
                  <c:v>0</c:v>
                </c:pt>
                <c:pt idx="9">
                  <c:v>0</c:v>
                </c:pt>
                <c:pt idx="10">
                  <c:v>0</c:v>
                </c:pt>
                <c:pt idx="11">
                  <c:v>0</c:v>
                </c:pt>
              </c:numCache>
            </c:numRef>
          </c:val>
        </c:ser>
        <c:ser>
          <c:idx val="1"/>
          <c:order val="1"/>
          <c:tx>
            <c:strRef>
              <c:f>'Graph Data and Workings'!$A$171</c:f>
              <c:strCache>
                <c:ptCount val="1"/>
                <c:pt idx="0">
                  <c:v>Target Days</c:v>
                </c:pt>
              </c:strCache>
            </c:strRef>
          </c:tx>
          <c:invertIfNegative val="0"/>
          <c:cat>
            <c:numRef>
              <c:f>'Graph Data and Workings'!$B$169:$M$169</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Workings'!$B$171:$M$171</c:f>
              <c:numCache>
                <c:formatCode>General</c:formatCode>
                <c:ptCount val="12"/>
                <c:pt idx="0">
                  <c:v>90</c:v>
                </c:pt>
                <c:pt idx="1">
                  <c:v>90</c:v>
                </c:pt>
                <c:pt idx="2">
                  <c:v>90</c:v>
                </c:pt>
                <c:pt idx="3">
                  <c:v>90</c:v>
                </c:pt>
                <c:pt idx="4">
                  <c:v>90</c:v>
                </c:pt>
                <c:pt idx="5">
                  <c:v>90</c:v>
                </c:pt>
                <c:pt idx="6">
                  <c:v>90</c:v>
                </c:pt>
                <c:pt idx="7">
                  <c:v>90</c:v>
                </c:pt>
                <c:pt idx="8">
                  <c:v>90</c:v>
                </c:pt>
                <c:pt idx="9">
                  <c:v>90</c:v>
                </c:pt>
                <c:pt idx="10">
                  <c:v>90</c:v>
                </c:pt>
                <c:pt idx="11">
                  <c:v>90</c:v>
                </c:pt>
              </c:numCache>
            </c:numRef>
          </c:val>
        </c:ser>
        <c:dLbls>
          <c:showLegendKey val="0"/>
          <c:showVal val="0"/>
          <c:showCatName val="0"/>
          <c:showSerName val="0"/>
          <c:showPercent val="0"/>
          <c:showBubbleSize val="0"/>
        </c:dLbls>
        <c:gapWidth val="150"/>
        <c:shape val="box"/>
        <c:axId val="184711808"/>
        <c:axId val="184717696"/>
        <c:axId val="0"/>
      </c:bar3DChart>
      <c:dateAx>
        <c:axId val="184711808"/>
        <c:scaling>
          <c:orientation val="minMax"/>
        </c:scaling>
        <c:delete val="0"/>
        <c:axPos val="b"/>
        <c:numFmt formatCode="mmm\-yy" sourceLinked="1"/>
        <c:majorTickMark val="none"/>
        <c:minorTickMark val="none"/>
        <c:tickLblPos val="nextTo"/>
        <c:txPr>
          <a:bodyPr/>
          <a:lstStyle/>
          <a:p>
            <a:pPr>
              <a:defRPr sz="800" baseline="0"/>
            </a:pPr>
            <a:endParaRPr lang="en-US"/>
          </a:p>
        </c:txPr>
        <c:crossAx val="184717696"/>
        <c:crosses val="autoZero"/>
        <c:auto val="1"/>
        <c:lblOffset val="100"/>
        <c:baseTimeUnit val="months"/>
      </c:dateAx>
      <c:valAx>
        <c:axId val="184717696"/>
        <c:scaling>
          <c:orientation val="minMax"/>
        </c:scaling>
        <c:delete val="0"/>
        <c:axPos val="l"/>
        <c:majorGridlines/>
        <c:numFmt formatCode="0" sourceLinked="1"/>
        <c:majorTickMark val="none"/>
        <c:minorTickMark val="none"/>
        <c:tickLblPos val="nextTo"/>
        <c:crossAx val="184711808"/>
        <c:crosses val="autoZero"/>
        <c:crossBetween val="between"/>
      </c:valAx>
    </c:plotArea>
    <c:legend>
      <c:legendPos val="r"/>
      <c:layout>
        <c:manualLayout>
          <c:xMode val="edge"/>
          <c:yMode val="edge"/>
          <c:x val="0.81297588613794802"/>
          <c:y val="0.20184496670391019"/>
          <c:w val="0.17992599324318531"/>
          <c:h val="0.73048880098563351"/>
        </c:manualLayout>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1.8717006606978857E-3"/>
          <c:w val="0.99545435198978449"/>
          <c:h val="0.98981700771367542"/>
        </c:manualLayout>
      </c:layout>
      <c:lineChart>
        <c:grouping val="standard"/>
        <c:varyColors val="0"/>
        <c:ser>
          <c:idx val="0"/>
          <c:order val="0"/>
          <c:spPr>
            <a:ln w="12700"/>
          </c:spPr>
          <c:marker>
            <c:symbol val="diamond"/>
            <c:size val="3"/>
          </c:marker>
          <c:val>
            <c:numRef>
              <c:f>'Non Financial Statistics Report'!$D$53:$O$53</c:f>
              <c:numCache>
                <c:formatCode>_(* #,##0_);_(* \(#,##0\);_(* "-"??_);_(@_)</c:formatCode>
                <c:ptCount val="12"/>
                <c:pt idx="0">
                  <c:v>120</c:v>
                </c:pt>
                <c:pt idx="1">
                  <c:v>115</c:v>
                </c:pt>
                <c:pt idx="2">
                  <c:v>150</c:v>
                </c:pt>
                <c:pt idx="3">
                  <c:v>115</c:v>
                </c:pt>
                <c:pt idx="4">
                  <c:v>95</c:v>
                </c:pt>
              </c:numCache>
            </c:numRef>
          </c:val>
          <c:smooth val="0"/>
        </c:ser>
        <c:ser>
          <c:idx val="1"/>
          <c:order val="1"/>
          <c:spPr>
            <a:ln w="12700">
              <a:solidFill>
                <a:schemeClr val="accent2"/>
              </a:solidFill>
            </a:ln>
          </c:spPr>
          <c:marker>
            <c:symbol val="diamond"/>
            <c:size val="3"/>
            <c:spPr>
              <a:solidFill>
                <a:schemeClr val="accent2"/>
              </a:solidFill>
              <a:ln>
                <a:solidFill>
                  <a:schemeClr val="accent2"/>
                </a:solidFill>
              </a:ln>
            </c:spPr>
          </c:marker>
          <c:val>
            <c:numRef>
              <c:f>'Non Financial Statistics Report'!$D$54:$O$54</c:f>
              <c:numCache>
                <c:formatCode>_(* #,##0_);_(* \(#,##0\);_(* "-"??_);_(@_)</c:formatCode>
                <c:ptCount val="12"/>
                <c:pt idx="0">
                  <c:v>120</c:v>
                </c:pt>
                <c:pt idx="1">
                  <c:v>120</c:v>
                </c:pt>
                <c:pt idx="2">
                  <c:v>120</c:v>
                </c:pt>
                <c:pt idx="3">
                  <c:v>120</c:v>
                </c:pt>
                <c:pt idx="4">
                  <c:v>120</c:v>
                </c:pt>
                <c:pt idx="5">
                  <c:v>120</c:v>
                </c:pt>
                <c:pt idx="6">
                  <c:v>120</c:v>
                </c:pt>
                <c:pt idx="7">
                  <c:v>120</c:v>
                </c:pt>
                <c:pt idx="8">
                  <c:v>120</c:v>
                </c:pt>
                <c:pt idx="9">
                  <c:v>120</c:v>
                </c:pt>
                <c:pt idx="10">
                  <c:v>120</c:v>
                </c:pt>
                <c:pt idx="11">
                  <c:v>120</c:v>
                </c:pt>
              </c:numCache>
            </c:numRef>
          </c:val>
          <c:smooth val="0"/>
        </c:ser>
        <c:dLbls>
          <c:showLegendKey val="0"/>
          <c:showVal val="0"/>
          <c:showCatName val="0"/>
          <c:showSerName val="0"/>
          <c:showPercent val="0"/>
          <c:showBubbleSize val="0"/>
        </c:dLbls>
        <c:marker val="1"/>
        <c:smooth val="0"/>
        <c:axId val="184186752"/>
        <c:axId val="184188928"/>
      </c:lineChart>
      <c:catAx>
        <c:axId val="184186752"/>
        <c:scaling>
          <c:orientation val="minMax"/>
        </c:scaling>
        <c:delete val="1"/>
        <c:axPos val="b"/>
        <c:majorTickMark val="out"/>
        <c:minorTickMark val="none"/>
        <c:tickLblPos val="none"/>
        <c:crossAx val="184188928"/>
        <c:crosses val="autoZero"/>
        <c:auto val="1"/>
        <c:lblAlgn val="ctr"/>
        <c:lblOffset val="100"/>
        <c:noMultiLvlLbl val="0"/>
      </c:catAx>
      <c:valAx>
        <c:axId val="184188928"/>
        <c:scaling>
          <c:orientation val="minMax"/>
        </c:scaling>
        <c:delete val="1"/>
        <c:axPos val="l"/>
        <c:numFmt formatCode="_(* #,##0_);_(* \(#,##0\);_(* &quot;-&quot;??_);_(@_)" sourceLinked="1"/>
        <c:majorTickMark val="out"/>
        <c:minorTickMark val="none"/>
        <c:tickLblPos val="none"/>
        <c:crossAx val="184186752"/>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
          <c:w val="1"/>
          <c:h val="1"/>
        </c:manualLayout>
      </c:layout>
      <c:lineChart>
        <c:grouping val="standard"/>
        <c:varyColors val="0"/>
        <c:ser>
          <c:idx val="0"/>
          <c:order val="0"/>
          <c:spPr>
            <a:ln w="12700">
              <a:solidFill>
                <a:srgbClr val="00B050"/>
              </a:solidFill>
            </a:ln>
          </c:spPr>
          <c:marker>
            <c:symbol val="diamond"/>
            <c:size val="3"/>
            <c:spPr>
              <a:solidFill>
                <a:srgbClr val="00B050"/>
              </a:solidFill>
              <a:ln>
                <a:solidFill>
                  <a:srgbClr val="00B050"/>
                </a:solidFill>
              </a:ln>
            </c:spPr>
          </c:marker>
          <c:val>
            <c:numRef>
              <c:f>'Non Financial Statistics Report'!$D$9:$O$9</c:f>
              <c:numCache>
                <c:formatCode>0.00%</c:formatCode>
                <c:ptCount val="12"/>
                <c:pt idx="0">
                  <c:v>1</c:v>
                </c:pt>
                <c:pt idx="1">
                  <c:v>0.91</c:v>
                </c:pt>
                <c:pt idx="2">
                  <c:v>0.91</c:v>
                </c:pt>
                <c:pt idx="3">
                  <c:v>0.91</c:v>
                </c:pt>
                <c:pt idx="4">
                  <c:v>0.91</c:v>
                </c:pt>
              </c:numCache>
            </c:numRef>
          </c:val>
          <c:smooth val="0"/>
        </c:ser>
        <c:dLbls>
          <c:showLegendKey val="0"/>
          <c:showVal val="0"/>
          <c:showCatName val="0"/>
          <c:showSerName val="0"/>
          <c:showPercent val="0"/>
          <c:showBubbleSize val="0"/>
        </c:dLbls>
        <c:marker val="1"/>
        <c:smooth val="0"/>
        <c:axId val="184203904"/>
        <c:axId val="184214272"/>
      </c:lineChart>
      <c:catAx>
        <c:axId val="184203904"/>
        <c:scaling>
          <c:orientation val="minMax"/>
        </c:scaling>
        <c:delete val="1"/>
        <c:axPos val="b"/>
        <c:majorTickMark val="out"/>
        <c:minorTickMark val="none"/>
        <c:tickLblPos val="none"/>
        <c:crossAx val="184214272"/>
        <c:crosses val="autoZero"/>
        <c:auto val="1"/>
        <c:lblAlgn val="ctr"/>
        <c:lblOffset val="100"/>
        <c:noMultiLvlLbl val="0"/>
      </c:catAx>
      <c:valAx>
        <c:axId val="184214272"/>
        <c:scaling>
          <c:orientation val="minMax"/>
        </c:scaling>
        <c:delete val="1"/>
        <c:axPos val="l"/>
        <c:numFmt formatCode="0.00%" sourceLinked="1"/>
        <c:majorTickMark val="out"/>
        <c:minorTickMark val="none"/>
        <c:tickLblPos val="none"/>
        <c:crossAx val="184203904"/>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1.8717006606978857E-3"/>
          <c:w val="0.99545435198978449"/>
          <c:h val="0.98981700771367542"/>
        </c:manualLayout>
      </c:layout>
      <c:lineChart>
        <c:grouping val="standard"/>
        <c:varyColors val="0"/>
        <c:ser>
          <c:idx val="0"/>
          <c:order val="0"/>
          <c:spPr>
            <a:ln w="12700"/>
          </c:spPr>
          <c:marker>
            <c:symbol val="diamond"/>
            <c:size val="3"/>
          </c:marker>
          <c:val>
            <c:numRef>
              <c:f>'Non Financial Statistics Report'!$D$43:$O$43</c:f>
              <c:numCache>
                <c:formatCode>_(* #,##0_);_(* \(#,##0\);_(* "-"??_);_(@_)</c:formatCode>
                <c:ptCount val="12"/>
                <c:pt idx="0">
                  <c:v>55</c:v>
                </c:pt>
                <c:pt idx="1">
                  <c:v>55</c:v>
                </c:pt>
                <c:pt idx="2">
                  <c:v>45</c:v>
                </c:pt>
                <c:pt idx="3">
                  <c:v>45</c:v>
                </c:pt>
                <c:pt idx="4">
                  <c:v>20</c:v>
                </c:pt>
              </c:numCache>
            </c:numRef>
          </c:val>
          <c:smooth val="0"/>
        </c:ser>
        <c:ser>
          <c:idx val="1"/>
          <c:order val="1"/>
          <c:spPr>
            <a:ln w="15875">
              <a:solidFill>
                <a:schemeClr val="accent2"/>
              </a:solidFill>
            </a:ln>
          </c:spPr>
          <c:marker>
            <c:symbol val="diamond"/>
            <c:size val="3"/>
            <c:spPr>
              <a:solidFill>
                <a:schemeClr val="accent2"/>
              </a:solidFill>
              <a:ln>
                <a:solidFill>
                  <a:schemeClr val="accent2"/>
                </a:solidFill>
              </a:ln>
            </c:spPr>
          </c:marker>
          <c:val>
            <c:numRef>
              <c:f>'Non Financial Statistics Report'!$D$44:$O$44</c:f>
              <c:numCache>
                <c:formatCode>_(* #,##0_);_(* \(#,##0\);_(* "-"??_);_(@_)</c:formatCode>
                <c:ptCount val="12"/>
                <c:pt idx="0">
                  <c:v>40</c:v>
                </c:pt>
                <c:pt idx="1">
                  <c:v>40</c:v>
                </c:pt>
                <c:pt idx="2">
                  <c:v>40</c:v>
                </c:pt>
                <c:pt idx="3">
                  <c:v>40</c:v>
                </c:pt>
                <c:pt idx="4">
                  <c:v>40</c:v>
                </c:pt>
                <c:pt idx="5">
                  <c:v>40</c:v>
                </c:pt>
                <c:pt idx="6">
                  <c:v>40</c:v>
                </c:pt>
                <c:pt idx="7">
                  <c:v>40</c:v>
                </c:pt>
                <c:pt idx="8">
                  <c:v>40</c:v>
                </c:pt>
                <c:pt idx="9">
                  <c:v>40</c:v>
                </c:pt>
                <c:pt idx="10">
                  <c:v>40</c:v>
                </c:pt>
                <c:pt idx="11">
                  <c:v>40</c:v>
                </c:pt>
              </c:numCache>
            </c:numRef>
          </c:val>
          <c:smooth val="0"/>
        </c:ser>
        <c:dLbls>
          <c:showLegendKey val="0"/>
          <c:showVal val="0"/>
          <c:showCatName val="0"/>
          <c:showSerName val="0"/>
          <c:showPercent val="0"/>
          <c:showBubbleSize val="0"/>
        </c:dLbls>
        <c:marker val="1"/>
        <c:smooth val="0"/>
        <c:axId val="184242560"/>
        <c:axId val="184244480"/>
      </c:lineChart>
      <c:catAx>
        <c:axId val="184242560"/>
        <c:scaling>
          <c:orientation val="minMax"/>
        </c:scaling>
        <c:delete val="1"/>
        <c:axPos val="b"/>
        <c:majorTickMark val="out"/>
        <c:minorTickMark val="none"/>
        <c:tickLblPos val="none"/>
        <c:crossAx val="184244480"/>
        <c:crosses val="autoZero"/>
        <c:auto val="1"/>
        <c:lblAlgn val="ctr"/>
        <c:lblOffset val="100"/>
        <c:noMultiLvlLbl val="0"/>
      </c:catAx>
      <c:valAx>
        <c:axId val="184244480"/>
        <c:scaling>
          <c:orientation val="minMax"/>
        </c:scaling>
        <c:delete val="1"/>
        <c:axPos val="l"/>
        <c:numFmt formatCode="_(* #,##0_);_(* \(#,##0\);_(* &quot;-&quot;??_);_(@_)" sourceLinked="1"/>
        <c:majorTickMark val="out"/>
        <c:minorTickMark val="none"/>
        <c:tickLblPos val="none"/>
        <c:crossAx val="184242560"/>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
          <c:w val="1"/>
          <c:h val="1"/>
        </c:manualLayout>
      </c:layout>
      <c:lineChart>
        <c:grouping val="standard"/>
        <c:varyColors val="0"/>
        <c:ser>
          <c:idx val="0"/>
          <c:order val="0"/>
          <c:spPr>
            <a:ln w="12700"/>
          </c:spPr>
          <c:marker>
            <c:symbol val="diamond"/>
            <c:size val="3"/>
          </c:marker>
          <c:val>
            <c:numRef>
              <c:f>'Non Financial Statistics Report'!$D$8:$O$8</c:f>
              <c:numCache>
                <c:formatCode>_(* #,##0_);_(* \(#,##0\);_(* "-"??_);_(@_)</c:formatCode>
                <c:ptCount val="12"/>
                <c:pt idx="0">
                  <c:v>42</c:v>
                </c:pt>
                <c:pt idx="1">
                  <c:v>38</c:v>
                </c:pt>
                <c:pt idx="2">
                  <c:v>38</c:v>
                </c:pt>
                <c:pt idx="3">
                  <c:v>38</c:v>
                </c:pt>
                <c:pt idx="4">
                  <c:v>42</c:v>
                </c:pt>
              </c:numCache>
            </c:numRef>
          </c:val>
          <c:smooth val="0"/>
        </c:ser>
        <c:dLbls>
          <c:showLegendKey val="0"/>
          <c:showVal val="0"/>
          <c:showCatName val="0"/>
          <c:showSerName val="0"/>
          <c:showPercent val="0"/>
          <c:showBubbleSize val="0"/>
        </c:dLbls>
        <c:marker val="1"/>
        <c:smooth val="0"/>
        <c:axId val="184272384"/>
        <c:axId val="184273920"/>
      </c:lineChart>
      <c:catAx>
        <c:axId val="184272384"/>
        <c:scaling>
          <c:orientation val="minMax"/>
        </c:scaling>
        <c:delete val="1"/>
        <c:axPos val="b"/>
        <c:majorTickMark val="out"/>
        <c:minorTickMark val="none"/>
        <c:tickLblPos val="none"/>
        <c:crossAx val="184273920"/>
        <c:crosses val="autoZero"/>
        <c:auto val="1"/>
        <c:lblAlgn val="ctr"/>
        <c:lblOffset val="100"/>
        <c:noMultiLvlLbl val="0"/>
      </c:catAx>
      <c:valAx>
        <c:axId val="184273920"/>
        <c:scaling>
          <c:orientation val="minMax"/>
        </c:scaling>
        <c:delete val="1"/>
        <c:axPos val="l"/>
        <c:numFmt formatCode="_(* #,##0_);_(* \(#,##0\);_(* &quot;-&quot;??_);_(@_)" sourceLinked="1"/>
        <c:majorTickMark val="out"/>
        <c:minorTickMark val="none"/>
        <c:tickLblPos val="none"/>
        <c:crossAx val="184272384"/>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1.8717006606978857E-3"/>
          <c:w val="0.99545435198978449"/>
          <c:h val="0.98981700771367542"/>
        </c:manualLayout>
      </c:layout>
      <c:lineChart>
        <c:grouping val="standard"/>
        <c:varyColors val="0"/>
        <c:ser>
          <c:idx val="0"/>
          <c:order val="0"/>
          <c:spPr>
            <a:ln w="12700"/>
          </c:spPr>
          <c:marker>
            <c:symbol val="diamond"/>
            <c:size val="3"/>
          </c:marker>
          <c:val>
            <c:numRef>
              <c:f>'Non Financial Statistics Report'!$D$33:$O$33</c:f>
              <c:numCache>
                <c:formatCode>_(* #,##0_);_(* \(#,##0\);_(* "-"??_);_(@_)</c:formatCode>
                <c:ptCount val="12"/>
                <c:pt idx="0">
                  <c:v>1100</c:v>
                </c:pt>
                <c:pt idx="1">
                  <c:v>1000</c:v>
                </c:pt>
                <c:pt idx="2">
                  <c:v>950</c:v>
                </c:pt>
                <c:pt idx="3">
                  <c:v>1500</c:v>
                </c:pt>
                <c:pt idx="4">
                  <c:v>1000</c:v>
                </c:pt>
              </c:numCache>
            </c:numRef>
          </c:val>
          <c:smooth val="0"/>
        </c:ser>
        <c:ser>
          <c:idx val="1"/>
          <c:order val="1"/>
          <c:spPr>
            <a:ln w="12700">
              <a:solidFill>
                <a:schemeClr val="accent2"/>
              </a:solidFill>
            </a:ln>
          </c:spPr>
          <c:marker>
            <c:symbol val="diamond"/>
            <c:size val="3"/>
            <c:spPr>
              <a:solidFill>
                <a:schemeClr val="accent2"/>
              </a:solidFill>
              <a:ln>
                <a:solidFill>
                  <a:schemeClr val="accent2"/>
                </a:solidFill>
              </a:ln>
            </c:spPr>
          </c:marker>
          <c:val>
            <c:numRef>
              <c:f>'Non Financial Statistics Report'!$D$34:$O$34</c:f>
              <c:numCache>
                <c:formatCode>_(* #,##0_);_(* \(#,##0\);_(* "-"??_);_(@_)</c:formatCode>
                <c:ptCount val="12"/>
                <c:pt idx="0">
                  <c:v>1200</c:v>
                </c:pt>
                <c:pt idx="1">
                  <c:v>1300</c:v>
                </c:pt>
                <c:pt idx="2">
                  <c:v>1150</c:v>
                </c:pt>
                <c:pt idx="3">
                  <c:v>1200</c:v>
                </c:pt>
                <c:pt idx="4">
                  <c:v>952</c:v>
                </c:pt>
                <c:pt idx="5">
                  <c:v>900</c:v>
                </c:pt>
                <c:pt idx="6">
                  <c:v>900</c:v>
                </c:pt>
                <c:pt idx="7">
                  <c:v>900</c:v>
                </c:pt>
                <c:pt idx="8">
                  <c:v>900</c:v>
                </c:pt>
                <c:pt idx="9">
                  <c:v>900</c:v>
                </c:pt>
                <c:pt idx="10">
                  <c:v>900</c:v>
                </c:pt>
                <c:pt idx="11">
                  <c:v>900</c:v>
                </c:pt>
              </c:numCache>
            </c:numRef>
          </c:val>
          <c:smooth val="0"/>
        </c:ser>
        <c:dLbls>
          <c:showLegendKey val="0"/>
          <c:showVal val="0"/>
          <c:showCatName val="0"/>
          <c:showSerName val="0"/>
          <c:showPercent val="0"/>
          <c:showBubbleSize val="0"/>
        </c:dLbls>
        <c:marker val="1"/>
        <c:smooth val="0"/>
        <c:axId val="184298112"/>
        <c:axId val="184316672"/>
      </c:lineChart>
      <c:catAx>
        <c:axId val="184298112"/>
        <c:scaling>
          <c:orientation val="minMax"/>
        </c:scaling>
        <c:delete val="1"/>
        <c:axPos val="b"/>
        <c:majorTickMark val="out"/>
        <c:minorTickMark val="none"/>
        <c:tickLblPos val="none"/>
        <c:crossAx val="184316672"/>
        <c:crosses val="autoZero"/>
        <c:auto val="1"/>
        <c:lblAlgn val="ctr"/>
        <c:lblOffset val="100"/>
        <c:noMultiLvlLbl val="0"/>
      </c:catAx>
      <c:valAx>
        <c:axId val="184316672"/>
        <c:scaling>
          <c:orientation val="minMax"/>
        </c:scaling>
        <c:delete val="1"/>
        <c:axPos val="l"/>
        <c:numFmt formatCode="_(* #,##0_);_(* \(#,##0\);_(* &quot;-&quot;??_);_(@_)" sourceLinked="1"/>
        <c:majorTickMark val="out"/>
        <c:minorTickMark val="none"/>
        <c:tickLblPos val="none"/>
        <c:crossAx val="184298112"/>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
          <c:w val="1"/>
          <c:h val="1"/>
        </c:manualLayout>
      </c:layout>
      <c:lineChart>
        <c:grouping val="standard"/>
        <c:varyColors val="0"/>
        <c:ser>
          <c:idx val="0"/>
          <c:order val="0"/>
          <c:spPr>
            <a:ln w="12700">
              <a:solidFill>
                <a:srgbClr val="00B050"/>
              </a:solidFill>
            </a:ln>
          </c:spPr>
          <c:marker>
            <c:symbol val="diamond"/>
            <c:size val="3"/>
            <c:spPr>
              <a:solidFill>
                <a:srgbClr val="00B050"/>
              </a:solidFill>
              <a:ln>
                <a:solidFill>
                  <a:srgbClr val="00B050"/>
                </a:solidFill>
              </a:ln>
            </c:spPr>
          </c:marker>
          <c:val>
            <c:numRef>
              <c:f>'Non Financial Statistics Report'!$D$17:$O$17</c:f>
              <c:numCache>
                <c:formatCode>_(* #,##0_);_(* \(#,##0\);_(* "-"??_);_(@_)</c:formatCode>
                <c:ptCount val="12"/>
                <c:pt idx="0">
                  <c:v>2</c:v>
                </c:pt>
                <c:pt idx="1">
                  <c:v>2</c:v>
                </c:pt>
                <c:pt idx="2">
                  <c:v>6</c:v>
                </c:pt>
                <c:pt idx="3">
                  <c:v>2</c:v>
                </c:pt>
                <c:pt idx="4">
                  <c:v>2</c:v>
                </c:pt>
              </c:numCache>
            </c:numRef>
          </c:val>
          <c:smooth val="0"/>
        </c:ser>
        <c:dLbls>
          <c:showLegendKey val="0"/>
          <c:showVal val="0"/>
          <c:showCatName val="0"/>
          <c:showSerName val="0"/>
          <c:showPercent val="0"/>
          <c:showBubbleSize val="0"/>
        </c:dLbls>
        <c:marker val="1"/>
        <c:smooth val="0"/>
        <c:axId val="184327552"/>
        <c:axId val="184333824"/>
      </c:lineChart>
      <c:catAx>
        <c:axId val="184327552"/>
        <c:scaling>
          <c:orientation val="minMax"/>
        </c:scaling>
        <c:delete val="1"/>
        <c:axPos val="b"/>
        <c:majorTickMark val="out"/>
        <c:minorTickMark val="none"/>
        <c:tickLblPos val="none"/>
        <c:crossAx val="184333824"/>
        <c:crosses val="autoZero"/>
        <c:auto val="1"/>
        <c:lblAlgn val="ctr"/>
        <c:lblOffset val="100"/>
        <c:noMultiLvlLbl val="0"/>
      </c:catAx>
      <c:valAx>
        <c:axId val="184333824"/>
        <c:scaling>
          <c:orientation val="minMax"/>
        </c:scaling>
        <c:delete val="1"/>
        <c:axPos val="l"/>
        <c:numFmt formatCode="_(* #,##0_);_(* \(#,##0\);_(* &quot;-&quot;??_);_(@_)" sourceLinked="1"/>
        <c:majorTickMark val="out"/>
        <c:minorTickMark val="none"/>
        <c:tickLblPos val="none"/>
        <c:crossAx val="184327552"/>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
          <c:w val="1"/>
          <c:h val="1"/>
        </c:manualLayout>
      </c:layout>
      <c:lineChart>
        <c:grouping val="standard"/>
        <c:varyColors val="0"/>
        <c:ser>
          <c:idx val="0"/>
          <c:order val="0"/>
          <c:spPr>
            <a:ln w="12700"/>
          </c:spPr>
          <c:marker>
            <c:symbol val="diamond"/>
            <c:size val="3"/>
          </c:marker>
          <c:val>
            <c:numRef>
              <c:f>'Non Financial Statistics Report'!$D$16:$O$16</c:f>
              <c:numCache>
                <c:formatCode>_(* #,##0_);_(* \(#,##0\);_(* "-"??_);_(@_)</c:formatCode>
                <c:ptCount val="12"/>
                <c:pt idx="0">
                  <c:v>2</c:v>
                </c:pt>
                <c:pt idx="1">
                  <c:v>2</c:v>
                </c:pt>
                <c:pt idx="2">
                  <c:v>2</c:v>
                </c:pt>
                <c:pt idx="3">
                  <c:v>8</c:v>
                </c:pt>
                <c:pt idx="4">
                  <c:v>2</c:v>
                </c:pt>
              </c:numCache>
            </c:numRef>
          </c:val>
          <c:smooth val="0"/>
        </c:ser>
        <c:dLbls>
          <c:showLegendKey val="0"/>
          <c:showVal val="0"/>
          <c:showCatName val="0"/>
          <c:showSerName val="0"/>
          <c:showPercent val="0"/>
          <c:showBubbleSize val="0"/>
        </c:dLbls>
        <c:marker val="1"/>
        <c:smooth val="0"/>
        <c:axId val="184349440"/>
        <c:axId val="184350976"/>
      </c:lineChart>
      <c:catAx>
        <c:axId val="184349440"/>
        <c:scaling>
          <c:orientation val="minMax"/>
        </c:scaling>
        <c:delete val="1"/>
        <c:axPos val="b"/>
        <c:majorTickMark val="out"/>
        <c:minorTickMark val="none"/>
        <c:tickLblPos val="none"/>
        <c:crossAx val="184350976"/>
        <c:crosses val="autoZero"/>
        <c:auto val="1"/>
        <c:lblAlgn val="ctr"/>
        <c:lblOffset val="100"/>
        <c:noMultiLvlLbl val="0"/>
      </c:catAx>
      <c:valAx>
        <c:axId val="184350976"/>
        <c:scaling>
          <c:orientation val="minMax"/>
        </c:scaling>
        <c:delete val="1"/>
        <c:axPos val="l"/>
        <c:numFmt formatCode="_(* #,##0_);_(* \(#,##0\);_(* &quot;-&quot;??_);_(@_)" sourceLinked="1"/>
        <c:majorTickMark val="out"/>
        <c:minorTickMark val="none"/>
        <c:tickLblPos val="none"/>
        <c:crossAx val="184349440"/>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Monthly Net Surplus Budget, Actual and Latest Forecast</a:t>
            </a:r>
          </a:p>
        </c:rich>
      </c:tx>
      <c:overlay val="0"/>
    </c:title>
    <c:autoTitleDeleted val="0"/>
    <c:plotArea>
      <c:layout>
        <c:manualLayout>
          <c:layoutTarget val="inner"/>
          <c:xMode val="edge"/>
          <c:yMode val="edge"/>
          <c:x val="0.10310310576928414"/>
          <c:y val="0.17641404199475066"/>
          <c:w val="0.69759107611548554"/>
          <c:h val="0.73877276901654954"/>
        </c:manualLayout>
      </c:layout>
      <c:lineChart>
        <c:grouping val="standard"/>
        <c:varyColors val="0"/>
        <c:ser>
          <c:idx val="0"/>
          <c:order val="0"/>
          <c:tx>
            <c:strRef>
              <c:f>'Graph Data and Workings'!$C$110</c:f>
              <c:strCache>
                <c:ptCount val="1"/>
                <c:pt idx="0">
                  <c:v>Budget</c:v>
                </c:pt>
              </c:strCache>
            </c:strRef>
          </c:tx>
          <c:cat>
            <c:numRef>
              <c:f>'Graph Data and Workings'!$B$111:$B$122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Workings'!$C$111:$C$122</c:f>
              <c:numCache>
                <c:formatCode>_-"$"* #,##0_-;\-"$"* #,##0_-;_-"$"* "-"??_-;_-@_-</c:formatCode>
                <c:ptCount val="12"/>
                <c:pt idx="0">
                  <c:v>212</c:v>
                </c:pt>
                <c:pt idx="1">
                  <c:v>335</c:v>
                </c:pt>
                <c:pt idx="2">
                  <c:v>161</c:v>
                </c:pt>
                <c:pt idx="3">
                  <c:v>185</c:v>
                </c:pt>
                <c:pt idx="4">
                  <c:v>185</c:v>
                </c:pt>
                <c:pt idx="5">
                  <c:v>385</c:v>
                </c:pt>
                <c:pt idx="6">
                  <c:v>235</c:v>
                </c:pt>
                <c:pt idx="7">
                  <c:v>185</c:v>
                </c:pt>
                <c:pt idx="8">
                  <c:v>185</c:v>
                </c:pt>
                <c:pt idx="9">
                  <c:v>185</c:v>
                </c:pt>
                <c:pt idx="10">
                  <c:v>185</c:v>
                </c:pt>
                <c:pt idx="11">
                  <c:v>185</c:v>
                </c:pt>
              </c:numCache>
            </c:numRef>
          </c:val>
          <c:smooth val="0"/>
        </c:ser>
        <c:ser>
          <c:idx val="1"/>
          <c:order val="1"/>
          <c:tx>
            <c:strRef>
              <c:f>'Graph Data and Workings'!$D$110</c:f>
              <c:strCache>
                <c:ptCount val="1"/>
                <c:pt idx="0">
                  <c:v>Actual</c:v>
                </c:pt>
              </c:strCache>
            </c:strRef>
          </c:tx>
          <c:cat>
            <c:numRef>
              <c:f>'Graph Data and Workings'!$B$111:$B$122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Workings'!$D$111:$D$122</c:f>
              <c:numCache>
                <c:formatCode>_-"$"* #,##0_-;\-"$"* #,##0_-;_-"$"* "-"??_-;_-@_-</c:formatCode>
                <c:ptCount val="12"/>
                <c:pt idx="0">
                  <c:v>-134</c:v>
                </c:pt>
                <c:pt idx="1">
                  <c:v>266</c:v>
                </c:pt>
                <c:pt idx="2">
                  <c:v>91</c:v>
                </c:pt>
                <c:pt idx="3">
                  <c:v>150</c:v>
                </c:pt>
                <c:pt idx="4">
                  <c:v>-1089</c:v>
                </c:pt>
                <c:pt idx="5">
                  <c:v>#N/A</c:v>
                </c:pt>
                <c:pt idx="6">
                  <c:v>#N/A</c:v>
                </c:pt>
                <c:pt idx="7">
                  <c:v>#N/A</c:v>
                </c:pt>
                <c:pt idx="8">
                  <c:v>#N/A</c:v>
                </c:pt>
                <c:pt idx="9">
                  <c:v>#N/A</c:v>
                </c:pt>
                <c:pt idx="10">
                  <c:v>#N/A</c:v>
                </c:pt>
                <c:pt idx="11">
                  <c:v>#N/A</c:v>
                </c:pt>
              </c:numCache>
            </c:numRef>
          </c:val>
          <c:smooth val="0"/>
        </c:ser>
        <c:ser>
          <c:idx val="2"/>
          <c:order val="2"/>
          <c:tx>
            <c:strRef>
              <c:f>'Graph Data and Workings'!$E$110</c:f>
              <c:strCache>
                <c:ptCount val="1"/>
                <c:pt idx="0">
                  <c:v>Latest Forecast</c:v>
                </c:pt>
              </c:strCache>
            </c:strRef>
          </c:tx>
          <c:cat>
            <c:numRef>
              <c:f>'Graph Data and Workings'!$B$111:$B$122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Workings'!$E$111:$E$122</c:f>
              <c:numCache>
                <c:formatCode>_-"$"* #,##0_-;\-"$"* #,##0_-;_-"$"* "-"??_-;_-@_-</c:formatCode>
                <c:ptCount val="12"/>
                <c:pt idx="0">
                  <c:v>#N/A</c:v>
                </c:pt>
                <c:pt idx="1">
                  <c:v>#N/A</c:v>
                </c:pt>
                <c:pt idx="2">
                  <c:v>#N/A</c:v>
                </c:pt>
                <c:pt idx="3">
                  <c:v>#N/A</c:v>
                </c:pt>
                <c:pt idx="4">
                  <c:v>#N/A</c:v>
                </c:pt>
                <c:pt idx="5">
                  <c:v>550</c:v>
                </c:pt>
                <c:pt idx="6">
                  <c:v>100</c:v>
                </c:pt>
                <c:pt idx="7">
                  <c:v>30</c:v>
                </c:pt>
                <c:pt idx="8">
                  <c:v>50</c:v>
                </c:pt>
                <c:pt idx="9">
                  <c:v>30</c:v>
                </c:pt>
                <c:pt idx="10">
                  <c:v>30</c:v>
                </c:pt>
                <c:pt idx="11">
                  <c:v>50</c:v>
                </c:pt>
              </c:numCache>
            </c:numRef>
          </c:val>
          <c:smooth val="0"/>
        </c:ser>
        <c:dLbls>
          <c:showLegendKey val="0"/>
          <c:showVal val="0"/>
          <c:showCatName val="0"/>
          <c:showSerName val="0"/>
          <c:showPercent val="0"/>
          <c:showBubbleSize val="0"/>
        </c:dLbls>
        <c:marker val="1"/>
        <c:smooth val="0"/>
        <c:axId val="167834368"/>
        <c:axId val="167835904"/>
      </c:lineChart>
      <c:dateAx>
        <c:axId val="167834368"/>
        <c:scaling>
          <c:orientation val="minMax"/>
        </c:scaling>
        <c:delete val="0"/>
        <c:axPos val="b"/>
        <c:numFmt formatCode="mmm\-yy" sourceLinked="1"/>
        <c:majorTickMark val="none"/>
        <c:minorTickMark val="none"/>
        <c:tickLblPos val="nextTo"/>
        <c:txPr>
          <a:bodyPr/>
          <a:lstStyle/>
          <a:p>
            <a:pPr>
              <a:defRPr sz="800" baseline="0"/>
            </a:pPr>
            <a:endParaRPr lang="en-US"/>
          </a:p>
        </c:txPr>
        <c:crossAx val="167835904"/>
        <c:crosses val="autoZero"/>
        <c:auto val="1"/>
        <c:lblOffset val="100"/>
        <c:baseTimeUnit val="months"/>
      </c:dateAx>
      <c:valAx>
        <c:axId val="167835904"/>
        <c:scaling>
          <c:orientation val="minMax"/>
        </c:scaling>
        <c:delete val="0"/>
        <c:axPos val="l"/>
        <c:majorGridlines/>
        <c:numFmt formatCode="_-&quot;$&quot;* #,##0_-;\-&quot;$&quot;* #,##0_-;_-&quot;$&quot;* &quot;-&quot;??_-;_-@_-" sourceLinked="1"/>
        <c:majorTickMark val="none"/>
        <c:minorTickMark val="none"/>
        <c:tickLblPos val="nextTo"/>
        <c:txPr>
          <a:bodyPr/>
          <a:lstStyle/>
          <a:p>
            <a:pPr>
              <a:defRPr sz="800" baseline="0"/>
            </a:pPr>
            <a:endParaRPr lang="en-US"/>
          </a:p>
        </c:txPr>
        <c:crossAx val="167834368"/>
        <c:crosses val="autoZero"/>
        <c:crossBetween val="between"/>
      </c:valAx>
    </c:plotArea>
    <c:legend>
      <c:legendPos val="r"/>
      <c:layout>
        <c:manualLayout>
          <c:xMode val="edge"/>
          <c:yMode val="edge"/>
          <c:x val="0.81677874015748031"/>
          <c:y val="0.20122562804649421"/>
          <c:w val="0.18322125984251969"/>
          <c:h val="0.56737345331833522"/>
        </c:manualLayout>
      </c:layout>
      <c:overlay val="0"/>
      <c:txPr>
        <a:bodyPr/>
        <a:lstStyle/>
        <a:p>
          <a:pPr>
            <a:defRPr sz="800" baseline="0"/>
          </a:pPr>
          <a:endParaRPr lang="en-US"/>
        </a:p>
      </c:txPr>
    </c:legend>
    <c:plotVisOnly val="1"/>
    <c:dispBlanksAs val="gap"/>
    <c:showDLblsOverMax val="0"/>
  </c:chart>
  <c:spPr>
    <a:ln>
      <a:solidFill>
        <a:schemeClr val="tx1"/>
      </a:solidFill>
    </a:ln>
  </c:sp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t>Immediate Cash Reserves/(Cash Shortfall)</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9.6621556802319611E-2"/>
          <c:y val="0.16675454809954832"/>
          <c:w val="0.8844924466577202"/>
          <c:h val="0.65355632619202531"/>
        </c:manualLayout>
      </c:layout>
      <c:bar3DChart>
        <c:barDir val="col"/>
        <c:grouping val="clustered"/>
        <c:varyColors val="0"/>
        <c:ser>
          <c:idx val="0"/>
          <c:order val="0"/>
          <c:tx>
            <c:strRef>
              <c:f>'Graph Data and Workings'!$A$137</c:f>
              <c:strCache>
                <c:ptCount val="1"/>
                <c:pt idx="0">
                  <c:v>Actual Month End Cash Position</c:v>
                </c:pt>
              </c:strCache>
            </c:strRef>
          </c:tx>
          <c:invertIfNegative val="0"/>
          <c:cat>
            <c:numRef>
              <c:f>'Graph Data and Workings'!$B$136:$M$136</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Workings'!$B$137:$M$137</c:f>
            </c:numRef>
          </c:val>
        </c:ser>
        <c:ser>
          <c:idx val="1"/>
          <c:order val="1"/>
          <c:tx>
            <c:strRef>
              <c:f>'Graph Data and Workings'!$A$138</c:f>
              <c:strCache>
                <c:ptCount val="1"/>
                <c:pt idx="0">
                  <c:v>Short Term Cash Requirement</c:v>
                </c:pt>
              </c:strCache>
            </c:strRef>
          </c:tx>
          <c:invertIfNegative val="0"/>
          <c:cat>
            <c:numRef>
              <c:f>'Graph Data and Workings'!$B$136:$M$136</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Workings'!$B$138:$M$138</c:f>
            </c:numRef>
          </c:val>
        </c:ser>
        <c:ser>
          <c:idx val="2"/>
          <c:order val="2"/>
          <c:tx>
            <c:strRef>
              <c:f>'Graph Data and Workings'!$A$139</c:f>
              <c:strCache>
                <c:ptCount val="1"/>
                <c:pt idx="0">
                  <c:v>Cash Reserves/(Shortfall)</c:v>
                </c:pt>
              </c:strCache>
            </c:strRef>
          </c:tx>
          <c:invertIfNegative val="0"/>
          <c:cat>
            <c:numRef>
              <c:f>'Graph Data and Workings'!$B$136:$M$136</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Workings'!$B$139:$M$139</c:f>
              <c:numCache>
                <c:formatCode>_-"$"* #,##0_-;\-"$"* #,##0_-;_-"$"* "-"??_-;_-@_-</c:formatCode>
                <c:ptCount val="12"/>
                <c:pt idx="0">
                  <c:v>1010</c:v>
                </c:pt>
                <c:pt idx="1">
                  <c:v>1040</c:v>
                </c:pt>
                <c:pt idx="2">
                  <c:v>890</c:v>
                </c:pt>
                <c:pt idx="3">
                  <c:v>1060</c:v>
                </c:pt>
                <c:pt idx="4">
                  <c:v>1000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shape val="box"/>
        <c:axId val="178883200"/>
        <c:axId val="178884992"/>
        <c:axId val="0"/>
      </c:bar3DChart>
      <c:dateAx>
        <c:axId val="178883200"/>
        <c:scaling>
          <c:orientation val="minMax"/>
        </c:scaling>
        <c:delete val="0"/>
        <c:axPos val="b"/>
        <c:numFmt formatCode="mmm\-yy" sourceLinked="1"/>
        <c:majorTickMark val="out"/>
        <c:minorTickMark val="none"/>
        <c:tickLblPos val="nextTo"/>
        <c:txPr>
          <a:bodyPr/>
          <a:lstStyle/>
          <a:p>
            <a:pPr>
              <a:defRPr sz="800" baseline="0"/>
            </a:pPr>
            <a:endParaRPr lang="en-US"/>
          </a:p>
        </c:txPr>
        <c:crossAx val="178884992"/>
        <c:crosses val="autoZero"/>
        <c:auto val="1"/>
        <c:lblOffset val="100"/>
        <c:baseTimeUnit val="months"/>
      </c:dateAx>
      <c:valAx>
        <c:axId val="178884992"/>
        <c:scaling>
          <c:orientation val="minMax"/>
        </c:scaling>
        <c:delete val="0"/>
        <c:axPos val="l"/>
        <c:majorGridlines/>
        <c:numFmt formatCode="_-&quot;$&quot;* #,##0_-;\-&quot;$&quot;* #,##0_-;_-&quot;$&quot;* &quot;-&quot;??_-;_-@_-" sourceLinked="1"/>
        <c:majorTickMark val="out"/>
        <c:minorTickMark val="none"/>
        <c:tickLblPos val="nextTo"/>
        <c:txPr>
          <a:bodyPr/>
          <a:lstStyle/>
          <a:p>
            <a:pPr>
              <a:defRPr sz="800" baseline="0"/>
            </a:pPr>
            <a:endParaRPr lang="en-US"/>
          </a:p>
        </c:txPr>
        <c:crossAx val="178883200"/>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t>YTD</a:t>
            </a:r>
            <a:r>
              <a:rPr lang="en-NZ" baseline="0"/>
              <a:t> Net Surplus By Division</a:t>
            </a:r>
            <a:endParaRPr lang="en-NZ"/>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Workings'!$A$147</c:f>
              <c:strCache>
                <c:ptCount val="1"/>
                <c:pt idx="0">
                  <c:v>Actual</c:v>
                </c:pt>
              </c:strCache>
            </c:strRef>
          </c:tx>
          <c:invertIfNegative val="0"/>
          <c:cat>
            <c:strRef>
              <c:f>'Graph Data and Workings'!$B$146:$F$146</c:f>
              <c:strCache>
                <c:ptCount val="5"/>
                <c:pt idx="0">
                  <c:v>Division 1</c:v>
                </c:pt>
                <c:pt idx="1">
                  <c:v>Division 2</c:v>
                </c:pt>
                <c:pt idx="2">
                  <c:v>Division 3</c:v>
                </c:pt>
                <c:pt idx="3">
                  <c:v>Division 4</c:v>
                </c:pt>
                <c:pt idx="4">
                  <c:v>Division 5</c:v>
                </c:pt>
              </c:strCache>
            </c:strRef>
          </c:cat>
          <c:val>
            <c:numRef>
              <c:f>'Graph Data and Workings'!$B$147:$F$147</c:f>
              <c:numCache>
                <c:formatCode>_-"$"* #,##0_-;\-"$"* #,##0_-;_-"$"* "-"??_-;_-@_-</c:formatCode>
                <c:ptCount val="5"/>
                <c:pt idx="0">
                  <c:v>32</c:v>
                </c:pt>
                <c:pt idx="1">
                  <c:v>38</c:v>
                </c:pt>
                <c:pt idx="2">
                  <c:v>32</c:v>
                </c:pt>
                <c:pt idx="3">
                  <c:v>32</c:v>
                </c:pt>
                <c:pt idx="4">
                  <c:v>32</c:v>
                </c:pt>
              </c:numCache>
            </c:numRef>
          </c:val>
        </c:ser>
        <c:ser>
          <c:idx val="1"/>
          <c:order val="1"/>
          <c:tx>
            <c:strRef>
              <c:f>'Graph Data and Workings'!$A$148</c:f>
              <c:strCache>
                <c:ptCount val="1"/>
                <c:pt idx="0">
                  <c:v>Budget </c:v>
                </c:pt>
              </c:strCache>
            </c:strRef>
          </c:tx>
          <c:invertIfNegative val="0"/>
          <c:cat>
            <c:strRef>
              <c:f>'Graph Data and Workings'!$B$146:$F$146</c:f>
              <c:strCache>
                <c:ptCount val="5"/>
                <c:pt idx="0">
                  <c:v>Division 1</c:v>
                </c:pt>
                <c:pt idx="1">
                  <c:v>Division 2</c:v>
                </c:pt>
                <c:pt idx="2">
                  <c:v>Division 3</c:v>
                </c:pt>
                <c:pt idx="3">
                  <c:v>Division 4</c:v>
                </c:pt>
                <c:pt idx="4">
                  <c:v>Division 5</c:v>
                </c:pt>
              </c:strCache>
            </c:strRef>
          </c:cat>
          <c:val>
            <c:numRef>
              <c:f>'Graph Data and Workings'!$B$148:$F$148</c:f>
              <c:numCache>
                <c:formatCode>_-"$"* #,##0_-;\-"$"* #,##0_-;_-"$"* "-"??_-;_-@_-</c:formatCode>
                <c:ptCount val="5"/>
                <c:pt idx="0">
                  <c:v>6</c:v>
                </c:pt>
                <c:pt idx="1">
                  <c:v>4</c:v>
                </c:pt>
                <c:pt idx="2">
                  <c:v>8</c:v>
                </c:pt>
                <c:pt idx="3">
                  <c:v>10</c:v>
                </c:pt>
                <c:pt idx="4">
                  <c:v>30</c:v>
                </c:pt>
              </c:numCache>
            </c:numRef>
          </c:val>
        </c:ser>
        <c:ser>
          <c:idx val="2"/>
          <c:order val="2"/>
          <c:tx>
            <c:strRef>
              <c:f>'Graph Data and Workings'!$A$149</c:f>
              <c:strCache>
                <c:ptCount val="1"/>
                <c:pt idx="0">
                  <c:v>Variance</c:v>
                </c:pt>
              </c:strCache>
            </c:strRef>
          </c:tx>
          <c:invertIfNegative val="0"/>
          <c:cat>
            <c:strRef>
              <c:f>'Graph Data and Workings'!$B$146:$F$146</c:f>
              <c:strCache>
                <c:ptCount val="5"/>
                <c:pt idx="0">
                  <c:v>Division 1</c:v>
                </c:pt>
                <c:pt idx="1">
                  <c:v>Division 2</c:v>
                </c:pt>
                <c:pt idx="2">
                  <c:v>Division 3</c:v>
                </c:pt>
                <c:pt idx="3">
                  <c:v>Division 4</c:v>
                </c:pt>
                <c:pt idx="4">
                  <c:v>Division 5</c:v>
                </c:pt>
              </c:strCache>
            </c:strRef>
          </c:cat>
          <c:val>
            <c:numRef>
              <c:f>'Graph Data and Workings'!$B$149:$F$149</c:f>
              <c:numCache>
                <c:formatCode>_-"$"* #,##0_-;\-"$"* #,##0_-;_-"$"* "-"??_-;_-@_-</c:formatCode>
                <c:ptCount val="5"/>
                <c:pt idx="0">
                  <c:v>26</c:v>
                </c:pt>
                <c:pt idx="1">
                  <c:v>34</c:v>
                </c:pt>
                <c:pt idx="2">
                  <c:v>24</c:v>
                </c:pt>
                <c:pt idx="3">
                  <c:v>22</c:v>
                </c:pt>
                <c:pt idx="4">
                  <c:v>2</c:v>
                </c:pt>
              </c:numCache>
            </c:numRef>
          </c:val>
        </c:ser>
        <c:dLbls>
          <c:showLegendKey val="0"/>
          <c:showVal val="0"/>
          <c:showCatName val="0"/>
          <c:showSerName val="0"/>
          <c:showPercent val="0"/>
          <c:showBubbleSize val="0"/>
        </c:dLbls>
        <c:gapWidth val="150"/>
        <c:shape val="box"/>
        <c:axId val="179505024"/>
        <c:axId val="179506560"/>
        <c:axId val="0"/>
      </c:bar3DChart>
      <c:catAx>
        <c:axId val="179505024"/>
        <c:scaling>
          <c:orientation val="minMax"/>
        </c:scaling>
        <c:delete val="0"/>
        <c:axPos val="b"/>
        <c:majorTickMark val="none"/>
        <c:minorTickMark val="none"/>
        <c:tickLblPos val="nextTo"/>
        <c:crossAx val="179506560"/>
        <c:crosses val="autoZero"/>
        <c:auto val="1"/>
        <c:lblAlgn val="ctr"/>
        <c:lblOffset val="100"/>
        <c:noMultiLvlLbl val="0"/>
      </c:catAx>
      <c:valAx>
        <c:axId val="179506560"/>
        <c:scaling>
          <c:orientation val="minMax"/>
        </c:scaling>
        <c:delete val="0"/>
        <c:axPos val="l"/>
        <c:majorGridlines/>
        <c:numFmt formatCode="_-&quot;$&quot;* #,##0_-;\-&quot;$&quot;* #,##0_-;_-&quot;$&quot;* &quot;-&quot;??_-;_-@_-" sourceLinked="1"/>
        <c:majorTickMark val="none"/>
        <c:minorTickMark val="none"/>
        <c:tickLblPos val="nextTo"/>
        <c:crossAx val="179505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Surplus Forecast</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6046955380577427"/>
          <c:y val="0.14599134567638505"/>
          <c:w val="0.80619711286089235"/>
          <c:h val="0.63856234186942851"/>
        </c:manualLayout>
      </c:layout>
      <c:bar3DChart>
        <c:barDir val="col"/>
        <c:grouping val="clustered"/>
        <c:varyColors val="0"/>
        <c:ser>
          <c:idx val="0"/>
          <c:order val="0"/>
          <c:invertIfNegative val="0"/>
          <c:dPt>
            <c:idx val="1"/>
            <c:invertIfNegative val="0"/>
            <c:bubble3D val="0"/>
            <c:spPr>
              <a:solidFill>
                <a:schemeClr val="accent2"/>
              </a:solidFill>
            </c:spPr>
          </c:dPt>
          <c:dPt>
            <c:idx val="2"/>
            <c:invertIfNegative val="0"/>
            <c:bubble3D val="0"/>
            <c:spPr>
              <a:solidFill>
                <a:srgbClr val="92D050"/>
              </a:solidFill>
            </c:spPr>
          </c:dPt>
          <c:cat>
            <c:strRef>
              <c:f>'Graph Data and Workings'!$A$52:$A$54</c:f>
              <c:strCache>
                <c:ptCount val="3"/>
                <c:pt idx="0">
                  <c:v>YTD Actual + Remaining Budget</c:v>
                </c:pt>
                <c:pt idx="1">
                  <c:v>Original Full Year Budget</c:v>
                </c:pt>
                <c:pt idx="2">
                  <c:v>Latest Full Year Forecast </c:v>
                </c:pt>
              </c:strCache>
            </c:strRef>
          </c:cat>
          <c:val>
            <c:numRef>
              <c:f>'Graph Data and Workings'!$B$52:$B$54</c:f>
              <c:numCache>
                <c:formatCode>_-"$"* #,##0_-;\-"$"* #,##0_-;_-"$"* "-"??_-;_-@_-</c:formatCode>
                <c:ptCount val="3"/>
                <c:pt idx="0">
                  <c:v>2208</c:v>
                </c:pt>
                <c:pt idx="1">
                  <c:v>2623</c:v>
                </c:pt>
                <c:pt idx="2">
                  <c:v>124</c:v>
                </c:pt>
              </c:numCache>
            </c:numRef>
          </c:val>
        </c:ser>
        <c:dLbls>
          <c:showLegendKey val="0"/>
          <c:showVal val="0"/>
          <c:showCatName val="0"/>
          <c:showSerName val="0"/>
          <c:showPercent val="0"/>
          <c:showBubbleSize val="0"/>
        </c:dLbls>
        <c:gapWidth val="150"/>
        <c:shape val="box"/>
        <c:axId val="179540736"/>
        <c:axId val="179542272"/>
        <c:axId val="0"/>
      </c:bar3DChart>
      <c:catAx>
        <c:axId val="179540736"/>
        <c:scaling>
          <c:orientation val="minMax"/>
        </c:scaling>
        <c:delete val="0"/>
        <c:axPos val="b"/>
        <c:majorTickMark val="none"/>
        <c:minorTickMark val="none"/>
        <c:tickLblPos val="nextTo"/>
        <c:txPr>
          <a:bodyPr/>
          <a:lstStyle/>
          <a:p>
            <a:pPr>
              <a:defRPr sz="800" baseline="0"/>
            </a:pPr>
            <a:endParaRPr lang="en-US"/>
          </a:p>
        </c:txPr>
        <c:crossAx val="179542272"/>
        <c:crosses val="autoZero"/>
        <c:auto val="1"/>
        <c:lblAlgn val="ctr"/>
        <c:lblOffset val="100"/>
        <c:noMultiLvlLbl val="0"/>
      </c:catAx>
      <c:valAx>
        <c:axId val="179542272"/>
        <c:scaling>
          <c:orientation val="minMax"/>
        </c:scaling>
        <c:delete val="0"/>
        <c:axPos val="l"/>
        <c:majorGridlines/>
        <c:numFmt formatCode="_-&quot;$&quot;* #,##0_-;\-&quot;$&quot;* #,##0_-;_-&quot;$&quot;* &quot;-&quot;??_-;_-@_-" sourceLinked="1"/>
        <c:majorTickMark val="none"/>
        <c:minorTickMark val="none"/>
        <c:tickLblPos val="nextTo"/>
        <c:crossAx val="179540736"/>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t>Current Month Net Surplus by Division</a:t>
            </a:r>
          </a:p>
        </c:rich>
      </c:tx>
      <c:layout>
        <c:manualLayout>
          <c:xMode val="edge"/>
          <c:yMode val="edge"/>
          <c:x val="0.37801377952755905"/>
          <c:y val="2.777777777777777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Workings'!$A$152</c:f>
              <c:strCache>
                <c:ptCount val="1"/>
                <c:pt idx="0">
                  <c:v>Actual</c:v>
                </c:pt>
              </c:strCache>
            </c:strRef>
          </c:tx>
          <c:invertIfNegative val="0"/>
          <c:cat>
            <c:strRef>
              <c:f>'Graph Data and Workings'!$B$151:$F$151</c:f>
              <c:strCache>
                <c:ptCount val="5"/>
                <c:pt idx="0">
                  <c:v>Division 1</c:v>
                </c:pt>
                <c:pt idx="1">
                  <c:v>Division 2</c:v>
                </c:pt>
                <c:pt idx="2">
                  <c:v>Division 3</c:v>
                </c:pt>
                <c:pt idx="3">
                  <c:v>Division 4</c:v>
                </c:pt>
                <c:pt idx="4">
                  <c:v>Division 5</c:v>
                </c:pt>
              </c:strCache>
            </c:strRef>
          </c:cat>
          <c:val>
            <c:numRef>
              <c:f>'Graph Data and Workings'!$B$152:$F$152</c:f>
              <c:numCache>
                <c:formatCode>_-"$"* #,##0_-;\-"$"* #,##0_-;_-"$"* "-"??_-;_-@_-</c:formatCode>
                <c:ptCount val="5"/>
                <c:pt idx="0">
                  <c:v>5</c:v>
                </c:pt>
                <c:pt idx="1">
                  <c:v>5</c:v>
                </c:pt>
                <c:pt idx="2">
                  <c:v>5</c:v>
                </c:pt>
                <c:pt idx="3">
                  <c:v>5</c:v>
                </c:pt>
                <c:pt idx="4">
                  <c:v>5</c:v>
                </c:pt>
              </c:numCache>
            </c:numRef>
          </c:val>
        </c:ser>
        <c:ser>
          <c:idx val="1"/>
          <c:order val="1"/>
          <c:tx>
            <c:strRef>
              <c:f>'Graph Data and Workings'!$A$153</c:f>
              <c:strCache>
                <c:ptCount val="1"/>
                <c:pt idx="0">
                  <c:v>Budget </c:v>
                </c:pt>
              </c:strCache>
            </c:strRef>
          </c:tx>
          <c:invertIfNegative val="0"/>
          <c:cat>
            <c:strRef>
              <c:f>'Graph Data and Workings'!$B$151:$F$151</c:f>
              <c:strCache>
                <c:ptCount val="5"/>
                <c:pt idx="0">
                  <c:v>Division 1</c:v>
                </c:pt>
                <c:pt idx="1">
                  <c:v>Division 2</c:v>
                </c:pt>
                <c:pt idx="2">
                  <c:v>Division 3</c:v>
                </c:pt>
                <c:pt idx="3">
                  <c:v>Division 4</c:v>
                </c:pt>
                <c:pt idx="4">
                  <c:v>Division 5</c:v>
                </c:pt>
              </c:strCache>
            </c:strRef>
          </c:cat>
          <c:val>
            <c:numRef>
              <c:f>'Graph Data and Workings'!$B$153:$F$153</c:f>
              <c:numCache>
                <c:formatCode>_-"$"* #,##0_-;\-"$"* #,##0_-;_-"$"* "-"??_-;_-@_-</c:formatCode>
                <c:ptCount val="5"/>
                <c:pt idx="0">
                  <c:v>3</c:v>
                </c:pt>
                <c:pt idx="1">
                  <c:v>2</c:v>
                </c:pt>
                <c:pt idx="2">
                  <c:v>4</c:v>
                </c:pt>
                <c:pt idx="3">
                  <c:v>5</c:v>
                </c:pt>
                <c:pt idx="4">
                  <c:v>15</c:v>
                </c:pt>
              </c:numCache>
            </c:numRef>
          </c:val>
        </c:ser>
        <c:ser>
          <c:idx val="2"/>
          <c:order val="2"/>
          <c:tx>
            <c:strRef>
              <c:f>'Graph Data and Workings'!$A$154</c:f>
              <c:strCache>
                <c:ptCount val="1"/>
                <c:pt idx="0">
                  <c:v>Variance</c:v>
                </c:pt>
              </c:strCache>
            </c:strRef>
          </c:tx>
          <c:invertIfNegative val="0"/>
          <c:cat>
            <c:strRef>
              <c:f>'Graph Data and Workings'!$B$151:$F$151</c:f>
              <c:strCache>
                <c:ptCount val="5"/>
                <c:pt idx="0">
                  <c:v>Division 1</c:v>
                </c:pt>
                <c:pt idx="1">
                  <c:v>Division 2</c:v>
                </c:pt>
                <c:pt idx="2">
                  <c:v>Division 3</c:v>
                </c:pt>
                <c:pt idx="3">
                  <c:v>Division 4</c:v>
                </c:pt>
                <c:pt idx="4">
                  <c:v>Division 5</c:v>
                </c:pt>
              </c:strCache>
            </c:strRef>
          </c:cat>
          <c:val>
            <c:numRef>
              <c:f>'Graph Data and Workings'!$B$154:$F$154</c:f>
              <c:numCache>
                <c:formatCode>_-"$"* #,##0_-;\-"$"* #,##0_-;_-"$"* "-"??_-;_-@_-</c:formatCode>
                <c:ptCount val="5"/>
                <c:pt idx="0">
                  <c:v>2</c:v>
                </c:pt>
                <c:pt idx="1">
                  <c:v>3</c:v>
                </c:pt>
                <c:pt idx="2">
                  <c:v>1</c:v>
                </c:pt>
                <c:pt idx="3">
                  <c:v>0</c:v>
                </c:pt>
                <c:pt idx="4">
                  <c:v>-10</c:v>
                </c:pt>
              </c:numCache>
            </c:numRef>
          </c:val>
        </c:ser>
        <c:dLbls>
          <c:showLegendKey val="0"/>
          <c:showVal val="0"/>
          <c:showCatName val="0"/>
          <c:showSerName val="0"/>
          <c:showPercent val="0"/>
          <c:showBubbleSize val="0"/>
        </c:dLbls>
        <c:gapWidth val="150"/>
        <c:shape val="box"/>
        <c:axId val="181612544"/>
        <c:axId val="181614080"/>
        <c:axId val="0"/>
      </c:bar3DChart>
      <c:catAx>
        <c:axId val="181612544"/>
        <c:scaling>
          <c:orientation val="minMax"/>
        </c:scaling>
        <c:delete val="0"/>
        <c:axPos val="b"/>
        <c:majorTickMark val="none"/>
        <c:minorTickMark val="none"/>
        <c:tickLblPos val="nextTo"/>
        <c:crossAx val="181614080"/>
        <c:crosses val="autoZero"/>
        <c:auto val="1"/>
        <c:lblAlgn val="ctr"/>
        <c:lblOffset val="100"/>
        <c:noMultiLvlLbl val="0"/>
      </c:catAx>
      <c:valAx>
        <c:axId val="181614080"/>
        <c:scaling>
          <c:orientation val="minMax"/>
        </c:scaling>
        <c:delete val="0"/>
        <c:axPos val="l"/>
        <c:majorGridlines/>
        <c:numFmt formatCode="_-&quot;$&quot;* #,##0_-;\-&quot;$&quot;* #,##0_-;_-&quot;$&quot;* &quot;-&quot;??_-;_-@_-" sourceLinked="1"/>
        <c:majorTickMark val="none"/>
        <c:minorTickMark val="none"/>
        <c:tickLblPos val="nextTo"/>
        <c:crossAx val="181612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US"/>
              <a:t>Days Covered by Net Liquid Assets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257339426577127"/>
          <c:y val="0.15131574920847898"/>
          <c:w val="0.71013438034142184"/>
          <c:h val="0.64026411496769187"/>
        </c:manualLayout>
      </c:layout>
      <c:bar3DChart>
        <c:barDir val="col"/>
        <c:grouping val="clustered"/>
        <c:varyColors val="0"/>
        <c:ser>
          <c:idx val="0"/>
          <c:order val="0"/>
          <c:tx>
            <c:strRef>
              <c:f>'Graph Data and Workings'!$A$170</c:f>
              <c:strCache>
                <c:ptCount val="1"/>
                <c:pt idx="0">
                  <c:v>Days Cover</c:v>
                </c:pt>
              </c:strCache>
            </c:strRef>
          </c:tx>
          <c:invertIfNegative val="0"/>
          <c:cat>
            <c:numRef>
              <c:f>'Graph Data and Workings'!$B$169:$M$169</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Workings'!$B$170:$M$170</c:f>
              <c:numCache>
                <c:formatCode>0</c:formatCode>
                <c:ptCount val="12"/>
                <c:pt idx="0">
                  <c:v>28.11278929966937</c:v>
                </c:pt>
                <c:pt idx="1">
                  <c:v>44.327360637087601</c:v>
                </c:pt>
                <c:pt idx="2">
                  <c:v>28.60292437742746</c:v>
                </c:pt>
                <c:pt idx="3">
                  <c:v>47.287197820905682</c:v>
                </c:pt>
                <c:pt idx="4">
                  <c:v>2.6161252614740986</c:v>
                </c:pt>
                <c:pt idx="5">
                  <c:v>0</c:v>
                </c:pt>
                <c:pt idx="6">
                  <c:v>0</c:v>
                </c:pt>
                <c:pt idx="7">
                  <c:v>0</c:v>
                </c:pt>
                <c:pt idx="8">
                  <c:v>0</c:v>
                </c:pt>
                <c:pt idx="9">
                  <c:v>0</c:v>
                </c:pt>
                <c:pt idx="10">
                  <c:v>0</c:v>
                </c:pt>
                <c:pt idx="11">
                  <c:v>0</c:v>
                </c:pt>
              </c:numCache>
            </c:numRef>
          </c:val>
        </c:ser>
        <c:ser>
          <c:idx val="1"/>
          <c:order val="1"/>
          <c:tx>
            <c:strRef>
              <c:f>'Graph Data and Workings'!$A$171</c:f>
              <c:strCache>
                <c:ptCount val="1"/>
                <c:pt idx="0">
                  <c:v>Target Days</c:v>
                </c:pt>
              </c:strCache>
            </c:strRef>
          </c:tx>
          <c:invertIfNegative val="0"/>
          <c:cat>
            <c:numRef>
              <c:f>'Graph Data and Workings'!$B$169:$M$169</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Workings'!$B$171:$M$171</c:f>
              <c:numCache>
                <c:formatCode>General</c:formatCode>
                <c:ptCount val="12"/>
                <c:pt idx="0">
                  <c:v>90</c:v>
                </c:pt>
                <c:pt idx="1">
                  <c:v>90</c:v>
                </c:pt>
                <c:pt idx="2">
                  <c:v>90</c:v>
                </c:pt>
                <c:pt idx="3">
                  <c:v>90</c:v>
                </c:pt>
                <c:pt idx="4">
                  <c:v>90</c:v>
                </c:pt>
                <c:pt idx="5">
                  <c:v>90</c:v>
                </c:pt>
                <c:pt idx="6">
                  <c:v>90</c:v>
                </c:pt>
                <c:pt idx="7">
                  <c:v>90</c:v>
                </c:pt>
                <c:pt idx="8">
                  <c:v>90</c:v>
                </c:pt>
                <c:pt idx="9">
                  <c:v>90</c:v>
                </c:pt>
                <c:pt idx="10">
                  <c:v>90</c:v>
                </c:pt>
                <c:pt idx="11">
                  <c:v>90</c:v>
                </c:pt>
              </c:numCache>
            </c:numRef>
          </c:val>
        </c:ser>
        <c:dLbls>
          <c:showLegendKey val="0"/>
          <c:showVal val="0"/>
          <c:showCatName val="0"/>
          <c:showSerName val="0"/>
          <c:showPercent val="0"/>
          <c:showBubbleSize val="0"/>
        </c:dLbls>
        <c:gapWidth val="150"/>
        <c:shape val="box"/>
        <c:axId val="181630848"/>
        <c:axId val="181632384"/>
        <c:axId val="0"/>
      </c:bar3DChart>
      <c:dateAx>
        <c:axId val="181630848"/>
        <c:scaling>
          <c:orientation val="minMax"/>
        </c:scaling>
        <c:delete val="0"/>
        <c:axPos val="b"/>
        <c:numFmt formatCode="mmm\-yy" sourceLinked="1"/>
        <c:majorTickMark val="none"/>
        <c:minorTickMark val="none"/>
        <c:tickLblPos val="nextTo"/>
        <c:txPr>
          <a:bodyPr/>
          <a:lstStyle/>
          <a:p>
            <a:pPr>
              <a:defRPr sz="800" baseline="0"/>
            </a:pPr>
            <a:endParaRPr lang="en-US"/>
          </a:p>
        </c:txPr>
        <c:crossAx val="181632384"/>
        <c:crosses val="autoZero"/>
        <c:auto val="1"/>
        <c:lblOffset val="100"/>
        <c:baseTimeUnit val="months"/>
      </c:dateAx>
      <c:valAx>
        <c:axId val="181632384"/>
        <c:scaling>
          <c:orientation val="minMax"/>
        </c:scaling>
        <c:delete val="0"/>
        <c:axPos val="l"/>
        <c:majorGridlines/>
        <c:numFmt formatCode="0" sourceLinked="1"/>
        <c:majorTickMark val="none"/>
        <c:minorTickMark val="none"/>
        <c:tickLblPos val="nextTo"/>
        <c:crossAx val="181630848"/>
        <c:crosses val="autoZero"/>
        <c:crossBetween val="between"/>
      </c:valAx>
    </c:plotArea>
    <c:legend>
      <c:legendPos val="r"/>
      <c:layout>
        <c:manualLayout>
          <c:xMode val="edge"/>
          <c:yMode val="edge"/>
          <c:x val="0.83674883963755209"/>
          <c:y val="0.30480562127043537"/>
          <c:w val="0.14145279523983209"/>
          <c:h val="0.48727940397584829"/>
        </c:manualLayout>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en-NZ" sz="1000" baseline="0"/>
              <a:t>Total Income - Actual v Budget</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Data and Workings'!$A$23</c:f>
              <c:strCache>
                <c:ptCount val="1"/>
                <c:pt idx="0">
                  <c:v>Actual</c:v>
                </c:pt>
              </c:strCache>
            </c:strRef>
          </c:tx>
          <c:invertIfNegative val="0"/>
          <c:cat>
            <c:numRef>
              <c:f>'Graph Data and Workings'!$B$22:$M$22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Workings'!$B$23:$M$23</c:f>
              <c:numCache>
                <c:formatCode>_-"$"* #,##0_-;\-"$"* #,##0_-;_-"$"* "-"??_-;_-@_-</c:formatCode>
                <c:ptCount val="12"/>
                <c:pt idx="0">
                  <c:v>1175</c:v>
                </c:pt>
                <c:pt idx="1">
                  <c:v>1295</c:v>
                </c:pt>
                <c:pt idx="2">
                  <c:v>1725</c:v>
                </c:pt>
                <c:pt idx="3">
                  <c:v>1349</c:v>
                </c:pt>
                <c:pt idx="4">
                  <c:v>1810</c:v>
                </c:pt>
                <c:pt idx="5">
                  <c:v>0</c:v>
                </c:pt>
                <c:pt idx="6">
                  <c:v>0</c:v>
                </c:pt>
                <c:pt idx="7">
                  <c:v>0</c:v>
                </c:pt>
                <c:pt idx="8">
                  <c:v>0</c:v>
                </c:pt>
                <c:pt idx="9">
                  <c:v>0</c:v>
                </c:pt>
                <c:pt idx="10">
                  <c:v>0</c:v>
                </c:pt>
                <c:pt idx="11">
                  <c:v>0</c:v>
                </c:pt>
              </c:numCache>
            </c:numRef>
          </c:val>
        </c:ser>
        <c:ser>
          <c:idx val="1"/>
          <c:order val="1"/>
          <c:tx>
            <c:strRef>
              <c:f>'Graph Data and Workings'!$A$24</c:f>
              <c:strCache>
                <c:ptCount val="1"/>
                <c:pt idx="0">
                  <c:v>Budget</c:v>
                </c:pt>
              </c:strCache>
            </c:strRef>
          </c:tx>
          <c:invertIfNegative val="0"/>
          <c:cat>
            <c:numRef>
              <c:f>'Graph Data and Workings'!$B$22:$M$22</c:f>
              <c:numCache>
                <c:formatCode>mmm\-yy</c:formatCode>
                <c:ptCount val="12"/>
                <c:pt idx="0">
                  <c:v>41851</c:v>
                </c:pt>
                <c:pt idx="1">
                  <c:v>41882</c:v>
                </c:pt>
                <c:pt idx="2">
                  <c:v>41912</c:v>
                </c:pt>
                <c:pt idx="3">
                  <c:v>41943</c:v>
                </c:pt>
                <c:pt idx="4">
                  <c:v>41973</c:v>
                </c:pt>
                <c:pt idx="5">
                  <c:v>42004</c:v>
                </c:pt>
                <c:pt idx="6">
                  <c:v>42035</c:v>
                </c:pt>
                <c:pt idx="7">
                  <c:v>42063</c:v>
                </c:pt>
                <c:pt idx="8">
                  <c:v>42094</c:v>
                </c:pt>
                <c:pt idx="9">
                  <c:v>42124</c:v>
                </c:pt>
                <c:pt idx="10">
                  <c:v>42155</c:v>
                </c:pt>
                <c:pt idx="11">
                  <c:v>42185</c:v>
                </c:pt>
              </c:numCache>
            </c:numRef>
          </c:cat>
          <c:val>
            <c:numRef>
              <c:f>'Graph Data and Workings'!$B$24:$M$24</c:f>
              <c:numCache>
                <c:formatCode>_-"$"* #,##0_-;\-"$"* #,##0_-;_-"$"* "-"??_-;_-@_-</c:formatCode>
                <c:ptCount val="12"/>
                <c:pt idx="0">
                  <c:v>1527</c:v>
                </c:pt>
                <c:pt idx="1">
                  <c:v>1650</c:v>
                </c:pt>
                <c:pt idx="2">
                  <c:v>1476</c:v>
                </c:pt>
                <c:pt idx="3">
                  <c:v>1500</c:v>
                </c:pt>
                <c:pt idx="4">
                  <c:v>1500</c:v>
                </c:pt>
                <c:pt idx="5">
                  <c:v>1700</c:v>
                </c:pt>
                <c:pt idx="6">
                  <c:v>1550</c:v>
                </c:pt>
                <c:pt idx="7">
                  <c:v>1500</c:v>
                </c:pt>
                <c:pt idx="8">
                  <c:v>1500</c:v>
                </c:pt>
                <c:pt idx="9">
                  <c:v>1500</c:v>
                </c:pt>
                <c:pt idx="10">
                  <c:v>1500</c:v>
                </c:pt>
                <c:pt idx="11">
                  <c:v>1500</c:v>
                </c:pt>
              </c:numCache>
            </c:numRef>
          </c:val>
        </c:ser>
        <c:dLbls>
          <c:showLegendKey val="0"/>
          <c:showVal val="0"/>
          <c:showCatName val="0"/>
          <c:showSerName val="0"/>
          <c:showPercent val="0"/>
          <c:showBubbleSize val="0"/>
        </c:dLbls>
        <c:gapWidth val="150"/>
        <c:shape val="box"/>
        <c:axId val="165214464"/>
        <c:axId val="165228544"/>
        <c:axId val="0"/>
      </c:bar3DChart>
      <c:dateAx>
        <c:axId val="165214464"/>
        <c:scaling>
          <c:orientation val="minMax"/>
        </c:scaling>
        <c:delete val="0"/>
        <c:axPos val="b"/>
        <c:numFmt formatCode="mmm\-yy" sourceLinked="1"/>
        <c:majorTickMark val="none"/>
        <c:minorTickMark val="none"/>
        <c:tickLblPos val="nextTo"/>
        <c:txPr>
          <a:bodyPr/>
          <a:lstStyle/>
          <a:p>
            <a:pPr>
              <a:defRPr sz="800" baseline="0"/>
            </a:pPr>
            <a:endParaRPr lang="en-US"/>
          </a:p>
        </c:txPr>
        <c:crossAx val="165228544"/>
        <c:crosses val="autoZero"/>
        <c:auto val="1"/>
        <c:lblOffset val="100"/>
        <c:baseTimeUnit val="months"/>
      </c:dateAx>
      <c:valAx>
        <c:axId val="165228544"/>
        <c:scaling>
          <c:orientation val="minMax"/>
        </c:scaling>
        <c:delete val="0"/>
        <c:axPos val="l"/>
        <c:majorGridlines/>
        <c:numFmt formatCode="_-&quot;$&quot;* #,##0_-;\-&quot;$&quot;* #,##0_-;_-&quot;$&quot;* &quot;-&quot;??_-;_-@_-" sourceLinked="1"/>
        <c:majorTickMark val="none"/>
        <c:minorTickMark val="none"/>
        <c:tickLblPos val="nextTo"/>
        <c:crossAx val="165214464"/>
        <c:crosses val="autoZero"/>
        <c:crossBetween val="between"/>
      </c:valAx>
    </c:plotArea>
    <c:legend>
      <c:legendPos val="r"/>
      <c:overlay val="0"/>
      <c:txPr>
        <a:bodyPr/>
        <a:lstStyle/>
        <a:p>
          <a:pPr>
            <a:defRPr sz="800" baseline="0"/>
          </a:pPr>
          <a:endParaRPr lang="en-US"/>
        </a:p>
      </c:txPr>
    </c:legend>
    <c:plotVisOnly val="1"/>
    <c:dispBlanksAs val="gap"/>
    <c:showDLblsOverMax val="0"/>
  </c:chart>
  <c:spPr>
    <a:noFill/>
    <a:ln>
      <a:solidFill>
        <a:schemeClr val="tx1"/>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7" Type="http://schemas.openxmlformats.org/officeDocument/2006/relationships/chart" Target="../charts/chart29.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editAs="oneCell">
    <xdr:from>
      <xdr:col>7</xdr:col>
      <xdr:colOff>904875</xdr:colOff>
      <xdr:row>0</xdr:row>
      <xdr:rowOff>104775</xdr:rowOff>
    </xdr:from>
    <xdr:to>
      <xdr:col>10</xdr:col>
      <xdr:colOff>26653</xdr:colOff>
      <xdr:row>2</xdr:row>
      <xdr:rowOff>200025</xdr:rowOff>
    </xdr:to>
    <xdr:pic>
      <xdr:nvPicPr>
        <xdr:cNvPr id="2" name="Picture 1" descr="HKcircles.JPG"/>
        <xdr:cNvPicPr>
          <a:picLocks noChangeAspect="1"/>
        </xdr:cNvPicPr>
      </xdr:nvPicPr>
      <xdr:blipFill>
        <a:blip xmlns:r="http://schemas.openxmlformats.org/officeDocument/2006/relationships" r:embed="rId1" cstate="print"/>
        <a:stretch>
          <a:fillRect/>
        </a:stretch>
      </xdr:blipFill>
      <xdr:spPr>
        <a:xfrm>
          <a:off x="8572500" y="104775"/>
          <a:ext cx="2265028"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485775</xdr:colOff>
      <xdr:row>0</xdr:row>
      <xdr:rowOff>104775</xdr:rowOff>
    </xdr:from>
    <xdr:to>
      <xdr:col>16</xdr:col>
      <xdr:colOff>657225</xdr:colOff>
      <xdr:row>1</xdr:row>
      <xdr:rowOff>104775</xdr:rowOff>
    </xdr:to>
    <xdr:sp macro="" textlink="">
      <xdr:nvSpPr>
        <xdr:cNvPr id="2" name="TextBox 1"/>
        <xdr:cNvSpPr txBox="1"/>
      </xdr:nvSpPr>
      <xdr:spPr>
        <a:xfrm>
          <a:off x="9058275" y="104775"/>
          <a:ext cx="3371850"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500" b="1"/>
            <a:t>[ insert logo here]</a:t>
          </a:r>
        </a:p>
      </xdr:txBody>
    </xdr:sp>
    <xdr:clientData/>
  </xdr:twoCellAnchor>
  <xdr:twoCellAnchor>
    <xdr:from>
      <xdr:col>11</xdr:col>
      <xdr:colOff>209549</xdr:colOff>
      <xdr:row>4</xdr:row>
      <xdr:rowOff>152400</xdr:rowOff>
    </xdr:from>
    <xdr:to>
      <xdr:col>16</xdr:col>
      <xdr:colOff>609599</xdr:colOff>
      <xdr:row>16</xdr:row>
      <xdr:rowOff>152400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xdr:colOff>
      <xdr:row>21</xdr:row>
      <xdr:rowOff>0</xdr:rowOff>
    </xdr:from>
    <xdr:to>
      <xdr:col>11</xdr:col>
      <xdr:colOff>19050</xdr:colOff>
      <xdr:row>34</xdr:row>
      <xdr:rowOff>9527</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21</xdr:row>
      <xdr:rowOff>0</xdr:rowOff>
    </xdr:from>
    <xdr:to>
      <xdr:col>17</xdr:col>
      <xdr:colOff>0</xdr:colOff>
      <xdr:row>33</xdr:row>
      <xdr:rowOff>152401</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37</xdr:row>
      <xdr:rowOff>142875</xdr:rowOff>
    </xdr:from>
    <xdr:to>
      <xdr:col>11</xdr:col>
      <xdr:colOff>0</xdr:colOff>
      <xdr:row>50</xdr:row>
      <xdr:rowOff>161924</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485775</xdr:colOff>
      <xdr:row>56</xdr:row>
      <xdr:rowOff>104775</xdr:rowOff>
    </xdr:from>
    <xdr:to>
      <xdr:col>16</xdr:col>
      <xdr:colOff>657225</xdr:colOff>
      <xdr:row>57</xdr:row>
      <xdr:rowOff>104775</xdr:rowOff>
    </xdr:to>
    <xdr:sp macro="" textlink="">
      <xdr:nvSpPr>
        <xdr:cNvPr id="23" name="TextBox 22"/>
        <xdr:cNvSpPr txBox="1"/>
      </xdr:nvSpPr>
      <xdr:spPr>
        <a:xfrm>
          <a:off x="9182100" y="22517100"/>
          <a:ext cx="3324225"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500" b="1"/>
            <a:t>[ insert logo here]</a:t>
          </a:r>
        </a:p>
      </xdr:txBody>
    </xdr:sp>
    <xdr:clientData/>
  </xdr:twoCellAnchor>
  <xdr:twoCellAnchor>
    <xdr:from>
      <xdr:col>1</xdr:col>
      <xdr:colOff>38099</xdr:colOff>
      <xdr:row>60</xdr:row>
      <xdr:rowOff>142875</xdr:rowOff>
    </xdr:from>
    <xdr:to>
      <xdr:col>17</xdr:col>
      <xdr:colOff>9524</xdr:colOff>
      <xdr:row>78</xdr:row>
      <xdr:rowOff>114300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37</xdr:row>
      <xdr:rowOff>133350</xdr:rowOff>
    </xdr:from>
    <xdr:to>
      <xdr:col>17</xdr:col>
      <xdr:colOff>0</xdr:colOff>
      <xdr:row>50</xdr:row>
      <xdr:rowOff>142875</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28574</xdr:colOff>
      <xdr:row>81</xdr:row>
      <xdr:rowOff>19050</xdr:rowOff>
    </xdr:from>
    <xdr:to>
      <xdr:col>17</xdr:col>
      <xdr:colOff>9525</xdr:colOff>
      <xdr:row>99</xdr:row>
      <xdr:rowOff>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37</xdr:row>
      <xdr:rowOff>142875</xdr:rowOff>
    </xdr:from>
    <xdr:to>
      <xdr:col>4</xdr:col>
      <xdr:colOff>0</xdr:colOff>
      <xdr:row>51</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0.34601</cdr:x>
      <cdr:y>0.0339</cdr:y>
    </cdr:from>
    <cdr:to>
      <cdr:x>0.68104</cdr:x>
      <cdr:y>0.17755</cdr:y>
    </cdr:to>
    <cdr:sp macro="" textlink="">
      <cdr:nvSpPr>
        <cdr:cNvPr id="2" name="TextBox 1"/>
        <cdr:cNvSpPr txBox="1"/>
      </cdr:nvSpPr>
      <cdr:spPr>
        <a:xfrm xmlns:a="http://schemas.openxmlformats.org/drawingml/2006/main">
          <a:off x="1811326" y="77338"/>
          <a:ext cx="1753826" cy="327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0"/>
            <a:t> </a:t>
          </a:r>
        </a:p>
      </cdr:txBody>
    </cdr:sp>
  </cdr:relSizeAnchor>
</c:userShapes>
</file>

<file path=xl/drawings/drawing4.xml><?xml version="1.0" encoding="utf-8"?>
<c:userShapes xmlns:c="http://schemas.openxmlformats.org/drawingml/2006/chart">
  <cdr:relSizeAnchor xmlns:cdr="http://schemas.openxmlformats.org/drawingml/2006/chartDrawing">
    <cdr:from>
      <cdr:x>0.34601</cdr:x>
      <cdr:y>0.0339</cdr:y>
    </cdr:from>
    <cdr:to>
      <cdr:x>0.68104</cdr:x>
      <cdr:y>0.17755</cdr:y>
    </cdr:to>
    <cdr:sp macro="" textlink="">
      <cdr:nvSpPr>
        <cdr:cNvPr id="2" name="TextBox 1"/>
        <cdr:cNvSpPr txBox="1"/>
      </cdr:nvSpPr>
      <cdr:spPr>
        <a:xfrm xmlns:a="http://schemas.openxmlformats.org/drawingml/2006/main">
          <a:off x="1811326" y="77338"/>
          <a:ext cx="1753826" cy="327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0"/>
            <a:t> </a:t>
          </a:r>
        </a:p>
      </cdr:txBody>
    </cdr:sp>
  </cdr:relSizeAnchor>
</c:userShapes>
</file>

<file path=xl/drawings/drawing5.xml><?xml version="1.0" encoding="utf-8"?>
<xdr:wsDr xmlns:xdr="http://schemas.openxmlformats.org/drawingml/2006/spreadsheetDrawing" xmlns:a="http://schemas.openxmlformats.org/drawingml/2006/main">
  <xdr:twoCellAnchor>
    <xdr:from>
      <xdr:col>13</xdr:col>
      <xdr:colOff>19050</xdr:colOff>
      <xdr:row>0</xdr:row>
      <xdr:rowOff>57150</xdr:rowOff>
    </xdr:from>
    <xdr:to>
      <xdr:col>16</xdr:col>
      <xdr:colOff>1000125</xdr:colOff>
      <xdr:row>1</xdr:row>
      <xdr:rowOff>57150</xdr:rowOff>
    </xdr:to>
    <xdr:sp macro="" textlink="">
      <xdr:nvSpPr>
        <xdr:cNvPr id="22" name="TextBox 21"/>
        <xdr:cNvSpPr txBox="1"/>
      </xdr:nvSpPr>
      <xdr:spPr>
        <a:xfrm>
          <a:off x="9020175" y="57150"/>
          <a:ext cx="2495550"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500" b="1"/>
            <a:t>[ insert logo here]</a:t>
          </a:r>
        </a:p>
      </xdr:txBody>
    </xdr:sp>
    <xdr:clientData/>
  </xdr:twoCellAnchor>
  <xdr:twoCellAnchor>
    <xdr:from>
      <xdr:col>1</xdr:col>
      <xdr:colOff>9524</xdr:colOff>
      <xdr:row>66</xdr:row>
      <xdr:rowOff>57149</xdr:rowOff>
    </xdr:from>
    <xdr:to>
      <xdr:col>8</xdr:col>
      <xdr:colOff>219075</xdr:colOff>
      <xdr:row>78</xdr:row>
      <xdr:rowOff>9524</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593350</xdr:colOff>
      <xdr:row>78</xdr:row>
      <xdr:rowOff>135031</xdr:rowOff>
    </xdr:from>
    <xdr:to>
      <xdr:col>16</xdr:col>
      <xdr:colOff>955301</xdr:colOff>
      <xdr:row>91</xdr:row>
      <xdr:rowOff>173131</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161923</xdr:colOff>
      <xdr:row>78</xdr:row>
      <xdr:rowOff>123826</xdr:rowOff>
    </xdr:from>
    <xdr:to>
      <xdr:col>8</xdr:col>
      <xdr:colOff>228600</xdr:colOff>
      <xdr:row>91</xdr:row>
      <xdr:rowOff>171450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462243</xdr:colOff>
      <xdr:row>107</xdr:row>
      <xdr:rowOff>190499</xdr:rowOff>
    </xdr:from>
    <xdr:to>
      <xdr:col>16</xdr:col>
      <xdr:colOff>1008530</xdr:colOff>
      <xdr:row>119</xdr:row>
      <xdr:rowOff>44824</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92</xdr:row>
      <xdr:rowOff>85725</xdr:rowOff>
    </xdr:from>
    <xdr:to>
      <xdr:col>8</xdr:col>
      <xdr:colOff>228600</xdr:colOff>
      <xdr:row>104</xdr:row>
      <xdr:rowOff>95251</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602877</xdr:colOff>
      <xdr:row>66</xdr:row>
      <xdr:rowOff>57150</xdr:rowOff>
    </xdr:from>
    <xdr:to>
      <xdr:col>16</xdr:col>
      <xdr:colOff>963708</xdr:colOff>
      <xdr:row>78</xdr:row>
      <xdr:rowOff>11206</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490818</xdr:colOff>
      <xdr:row>158</xdr:row>
      <xdr:rowOff>201146</xdr:rowOff>
    </xdr:from>
    <xdr:to>
      <xdr:col>16</xdr:col>
      <xdr:colOff>986116</xdr:colOff>
      <xdr:row>169</xdr:row>
      <xdr:rowOff>134471</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495300</xdr:colOff>
      <xdr:row>170</xdr:row>
      <xdr:rowOff>47625</xdr:rowOff>
    </xdr:from>
    <xdr:to>
      <xdr:col>16</xdr:col>
      <xdr:colOff>990600</xdr:colOff>
      <xdr:row>180</xdr:row>
      <xdr:rowOff>114300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11206</xdr:colOff>
      <xdr:row>168</xdr:row>
      <xdr:rowOff>156884</xdr:rowOff>
    </xdr:from>
    <xdr:to>
      <xdr:col>7</xdr:col>
      <xdr:colOff>661148</xdr:colOff>
      <xdr:row>180</xdr:row>
      <xdr:rowOff>145676</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459440</xdr:colOff>
      <xdr:row>119</xdr:row>
      <xdr:rowOff>156883</xdr:rowOff>
    </xdr:from>
    <xdr:to>
      <xdr:col>17</xdr:col>
      <xdr:colOff>11206</xdr:colOff>
      <xdr:row>135</xdr:row>
      <xdr:rowOff>155204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119</xdr:row>
      <xdr:rowOff>156883</xdr:rowOff>
    </xdr:from>
    <xdr:to>
      <xdr:col>8</xdr:col>
      <xdr:colOff>336177</xdr:colOff>
      <xdr:row>135</xdr:row>
      <xdr:rowOff>156883</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571500</xdr:colOff>
      <xdr:row>92</xdr:row>
      <xdr:rowOff>112057</xdr:rowOff>
    </xdr:from>
    <xdr:to>
      <xdr:col>16</xdr:col>
      <xdr:colOff>963706</xdr:colOff>
      <xdr:row>104</xdr:row>
      <xdr:rowOff>100853</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156880</xdr:colOff>
      <xdr:row>222</xdr:row>
      <xdr:rowOff>134471</xdr:rowOff>
    </xdr:from>
    <xdr:to>
      <xdr:col>17</xdr:col>
      <xdr:colOff>11205</xdr:colOff>
      <xdr:row>241</xdr:row>
      <xdr:rowOff>11205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493059</xdr:colOff>
      <xdr:row>148</xdr:row>
      <xdr:rowOff>-1</xdr:rowOff>
    </xdr:from>
    <xdr:to>
      <xdr:col>17</xdr:col>
      <xdr:colOff>11206</xdr:colOff>
      <xdr:row>158</xdr:row>
      <xdr:rowOff>67236</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0.34601</cdr:x>
      <cdr:y>0.0339</cdr:y>
    </cdr:from>
    <cdr:to>
      <cdr:x>0.68104</cdr:x>
      <cdr:y>0.17755</cdr:y>
    </cdr:to>
    <cdr:sp macro="" textlink="">
      <cdr:nvSpPr>
        <cdr:cNvPr id="2" name="TextBox 1"/>
        <cdr:cNvSpPr txBox="1"/>
      </cdr:nvSpPr>
      <cdr:spPr>
        <a:xfrm xmlns:a="http://schemas.openxmlformats.org/drawingml/2006/main">
          <a:off x="1811326" y="77338"/>
          <a:ext cx="1753826" cy="327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0"/>
            <a:t> </a:t>
          </a:r>
        </a:p>
      </cdr:txBody>
    </cdr:sp>
  </cdr:relSizeAnchor>
</c:userShapes>
</file>

<file path=xl/drawings/drawing7.xml><?xml version="1.0" encoding="utf-8"?>
<xdr:wsDr xmlns:xdr="http://schemas.openxmlformats.org/drawingml/2006/spreadsheetDrawing" xmlns:a="http://schemas.openxmlformats.org/drawingml/2006/main">
  <xdr:twoCellAnchor>
    <xdr:from>
      <xdr:col>16</xdr:col>
      <xdr:colOff>9525</xdr:colOff>
      <xdr:row>51</xdr:row>
      <xdr:rowOff>9525</xdr:rowOff>
    </xdr:from>
    <xdr:to>
      <xdr:col>16</xdr:col>
      <xdr:colOff>1019175</xdr:colOff>
      <xdr:row>56</xdr:row>
      <xdr:rowOff>180975</xdr:rowOff>
    </xdr:to>
    <xdr:graphicFrame macro="">
      <xdr:nvGraphicFramePr>
        <xdr:cNvPr id="28756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7</xdr:row>
      <xdr:rowOff>200025</xdr:rowOff>
    </xdr:from>
    <xdr:to>
      <xdr:col>16</xdr:col>
      <xdr:colOff>1033097</xdr:colOff>
      <xdr:row>9</xdr:row>
      <xdr:rowOff>200025</xdr:rowOff>
    </xdr:to>
    <xdr:graphicFrame macro="">
      <xdr:nvGraphicFramePr>
        <xdr:cNvPr id="28756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9525</xdr:colOff>
      <xdr:row>41</xdr:row>
      <xdr:rowOff>9525</xdr:rowOff>
    </xdr:from>
    <xdr:to>
      <xdr:col>16</xdr:col>
      <xdr:colOff>1028700</xdr:colOff>
      <xdr:row>47</xdr:row>
      <xdr:rowOff>0</xdr:rowOff>
    </xdr:to>
    <xdr:graphicFrame macro="">
      <xdr:nvGraphicFramePr>
        <xdr:cNvPr id="287563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19050</xdr:colOff>
      <xdr:row>6</xdr:row>
      <xdr:rowOff>200025</xdr:rowOff>
    </xdr:from>
    <xdr:to>
      <xdr:col>16</xdr:col>
      <xdr:colOff>1028700</xdr:colOff>
      <xdr:row>7</xdr:row>
      <xdr:rowOff>200025</xdr:rowOff>
    </xdr:to>
    <xdr:graphicFrame macro="">
      <xdr:nvGraphicFramePr>
        <xdr:cNvPr id="287567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57150</xdr:colOff>
      <xdr:row>0</xdr:row>
      <xdr:rowOff>76201</xdr:rowOff>
    </xdr:from>
    <xdr:to>
      <xdr:col>16</xdr:col>
      <xdr:colOff>1038225</xdr:colOff>
      <xdr:row>2</xdr:row>
      <xdr:rowOff>19050</xdr:rowOff>
    </xdr:to>
    <xdr:sp macro="" textlink="">
      <xdr:nvSpPr>
        <xdr:cNvPr id="2" name="TextBox 1"/>
        <xdr:cNvSpPr txBox="1"/>
      </xdr:nvSpPr>
      <xdr:spPr>
        <a:xfrm>
          <a:off x="9058275" y="76201"/>
          <a:ext cx="2495550" cy="37147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500" b="1"/>
            <a:t>[ insert logo here]</a:t>
          </a:r>
        </a:p>
      </xdr:txBody>
    </xdr:sp>
    <xdr:clientData/>
  </xdr:twoCellAnchor>
  <xdr:twoCellAnchor>
    <xdr:from>
      <xdr:col>16</xdr:col>
      <xdr:colOff>19050</xdr:colOff>
      <xdr:row>31</xdr:row>
      <xdr:rowOff>9525</xdr:rowOff>
    </xdr:from>
    <xdr:to>
      <xdr:col>16</xdr:col>
      <xdr:colOff>1000125</xdr:colOff>
      <xdr:row>36</xdr:row>
      <xdr:rowOff>200025</xdr:rowOff>
    </xdr:to>
    <xdr:graphicFrame macro="">
      <xdr:nvGraphicFramePr>
        <xdr:cNvPr id="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19050</xdr:colOff>
      <xdr:row>15</xdr:row>
      <xdr:rowOff>200025</xdr:rowOff>
    </xdr:from>
    <xdr:to>
      <xdr:col>16</xdr:col>
      <xdr:colOff>1033097</xdr:colOff>
      <xdr:row>17</xdr:row>
      <xdr:rowOff>200025</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19050</xdr:colOff>
      <xdr:row>14</xdr:row>
      <xdr:rowOff>200025</xdr:rowOff>
    </xdr:from>
    <xdr:to>
      <xdr:col>16</xdr:col>
      <xdr:colOff>1028700</xdr:colOff>
      <xdr:row>15</xdr:row>
      <xdr:rowOff>200025</xdr:rowOff>
    </xdr:to>
    <xdr:graphicFrame macro="">
      <xdr:nvGraphicFramePr>
        <xdr:cNvPr id="1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
  <sheetViews>
    <sheetView tabSelected="1" zoomScaleNormal="100" workbookViewId="0">
      <selection activeCell="Q6" sqref="Q6"/>
    </sheetView>
  </sheetViews>
  <sheetFormatPr defaultRowHeight="12.75"/>
  <cols>
    <col min="1" max="1" width="3" style="89" customWidth="1"/>
    <col min="2" max="16384" width="9.140625" style="89"/>
  </cols>
  <sheetData>
    <row r="1" spans="2:13">
      <c r="B1" s="331"/>
      <c r="C1" s="331"/>
      <c r="D1" s="331"/>
      <c r="E1" s="331"/>
      <c r="F1" s="331"/>
      <c r="G1" s="331"/>
      <c r="H1" s="331"/>
      <c r="I1" s="331"/>
      <c r="J1" s="331"/>
      <c r="K1" s="331"/>
      <c r="L1" s="331"/>
      <c r="M1" s="331"/>
    </row>
    <row r="2" spans="2:13" ht="27.75">
      <c r="B2" s="108" t="s">
        <v>243</v>
      </c>
      <c r="C2" s="330"/>
      <c r="D2" s="330"/>
      <c r="E2" s="330"/>
      <c r="F2" s="330"/>
      <c r="G2" s="330"/>
      <c r="H2" s="330"/>
      <c r="I2" s="330"/>
      <c r="J2" s="330"/>
      <c r="K2" s="330"/>
      <c r="L2" s="330"/>
      <c r="M2" s="330"/>
    </row>
    <row r="3" spans="2:13">
      <c r="B3" s="330"/>
      <c r="C3" s="330"/>
      <c r="D3" s="330"/>
      <c r="E3" s="330"/>
      <c r="F3" s="330"/>
      <c r="G3" s="330"/>
      <c r="H3" s="330"/>
      <c r="I3" s="330"/>
      <c r="J3" s="330"/>
      <c r="K3" s="330"/>
      <c r="L3" s="330"/>
      <c r="M3" s="330"/>
    </row>
    <row r="4" spans="2:13" ht="32.25" customHeight="1">
      <c r="B4" s="332" t="s">
        <v>242</v>
      </c>
      <c r="C4" s="333"/>
      <c r="D4" s="333"/>
      <c r="E4" s="333"/>
      <c r="F4" s="333"/>
      <c r="G4" s="333"/>
      <c r="H4" s="333"/>
      <c r="I4" s="333"/>
      <c r="J4" s="333"/>
      <c r="K4" s="333"/>
      <c r="L4" s="333"/>
      <c r="M4" s="333"/>
    </row>
    <row r="5" spans="2:13" ht="33" customHeight="1">
      <c r="B5" s="332" t="s">
        <v>245</v>
      </c>
      <c r="C5" s="333"/>
      <c r="D5" s="333"/>
      <c r="E5" s="333"/>
      <c r="F5" s="333"/>
      <c r="G5" s="333"/>
      <c r="H5" s="333"/>
      <c r="I5" s="333"/>
      <c r="J5" s="333"/>
      <c r="K5" s="333"/>
      <c r="L5" s="333"/>
      <c r="M5" s="333"/>
    </row>
    <row r="6" spans="2:13" ht="65.25" customHeight="1">
      <c r="B6" s="332" t="s">
        <v>246</v>
      </c>
      <c r="C6" s="333"/>
      <c r="D6" s="333"/>
      <c r="E6" s="333"/>
      <c r="F6" s="333"/>
      <c r="G6" s="333"/>
      <c r="H6" s="333"/>
      <c r="I6" s="333"/>
      <c r="J6" s="333"/>
      <c r="K6" s="333"/>
      <c r="L6" s="333"/>
      <c r="M6" s="333"/>
    </row>
    <row r="7" spans="2:13">
      <c r="B7" s="334" t="s">
        <v>244</v>
      </c>
      <c r="C7" s="335"/>
      <c r="D7" s="335"/>
      <c r="E7" s="335"/>
      <c r="F7" s="335"/>
      <c r="G7" s="335"/>
      <c r="H7" s="335"/>
      <c r="I7" s="335"/>
      <c r="J7" s="335"/>
      <c r="K7" s="335"/>
      <c r="L7" s="335"/>
      <c r="M7" s="335"/>
    </row>
  </sheetData>
  <mergeCells count="5">
    <mergeCell ref="B1:M1"/>
    <mergeCell ref="B4:M4"/>
    <mergeCell ref="B5:M5"/>
    <mergeCell ref="B6:M6"/>
    <mergeCell ref="B7:M7"/>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3" tint="0.39997558519241921"/>
    <pageSetUpPr fitToPage="1"/>
  </sheetPr>
  <dimension ref="B1:L47"/>
  <sheetViews>
    <sheetView showRowColHeaders="0" zoomScaleNormal="100" workbookViewId="0">
      <selection activeCell="B2" sqref="B2"/>
    </sheetView>
  </sheetViews>
  <sheetFormatPr defaultColWidth="10.7109375" defaultRowHeight="15" customHeight="1"/>
  <cols>
    <col min="1" max="1" width="20.7109375" style="28" customWidth="1"/>
    <col min="2" max="10" width="15.7109375" style="28" customWidth="1"/>
    <col min="11" max="11" width="20.7109375" style="28" customWidth="1"/>
    <col min="12" max="12" width="15.7109375" style="28" customWidth="1"/>
    <col min="13" max="16384" width="10.7109375" style="28"/>
  </cols>
  <sheetData>
    <row r="1" spans="2:12" ht="30" customHeight="1"/>
    <row r="2" spans="2:12" s="1" customFormat="1" ht="30" customHeight="1">
      <c r="B2" s="108" t="s">
        <v>57</v>
      </c>
      <c r="C2" s="109"/>
      <c r="D2" s="109"/>
      <c r="E2" s="110"/>
      <c r="F2" s="111"/>
      <c r="I2" s="4"/>
      <c r="J2" s="4"/>
      <c r="K2" s="4"/>
      <c r="L2" s="4"/>
    </row>
    <row r="3" spans="2:12" ht="20.100000000000001" customHeight="1"/>
    <row r="4" spans="2:12" ht="20.100000000000001" customHeight="1">
      <c r="I4" s="31" t="s">
        <v>105</v>
      </c>
    </row>
    <row r="6" spans="2:12" ht="15" customHeight="1">
      <c r="B6" s="92" t="s">
        <v>158</v>
      </c>
    </row>
    <row r="7" spans="2:12" ht="15" customHeight="1">
      <c r="B7" s="92" t="s">
        <v>63</v>
      </c>
    </row>
    <row r="8" spans="2:12" ht="15" customHeight="1">
      <c r="B8" s="92"/>
    </row>
    <row r="9" spans="2:12" ht="15" customHeight="1">
      <c r="B9" s="92" t="s">
        <v>64</v>
      </c>
      <c r="F9" s="169"/>
    </row>
    <row r="11" spans="2:12" ht="15" customHeight="1">
      <c r="B11" s="92" t="s">
        <v>204</v>
      </c>
    </row>
    <row r="12" spans="2:12" ht="15" customHeight="1">
      <c r="B12" s="92"/>
    </row>
    <row r="13" spans="2:12" ht="15" customHeight="1">
      <c r="B13" s="92" t="s">
        <v>205</v>
      </c>
      <c r="D13" s="336" t="s">
        <v>100</v>
      </c>
      <c r="E13" s="337"/>
    </row>
    <row r="14" spans="2:12" ht="15" customHeight="1">
      <c r="B14" s="92" t="s">
        <v>65</v>
      </c>
      <c r="D14" s="338">
        <v>41821</v>
      </c>
      <c r="E14" s="339"/>
    </row>
    <row r="15" spans="2:12" ht="15" customHeight="1">
      <c r="B15" s="92" t="s">
        <v>73</v>
      </c>
      <c r="D15" s="340">
        <v>41882</v>
      </c>
      <c r="E15" s="340"/>
    </row>
    <row r="16" spans="2:12" ht="15" customHeight="1">
      <c r="B16" s="31"/>
    </row>
    <row r="17" spans="2:11" ht="15" customHeight="1">
      <c r="B17" s="31"/>
    </row>
    <row r="18" spans="2:11" ht="15" customHeight="1">
      <c r="B18" s="92" t="s">
        <v>90</v>
      </c>
    </row>
    <row r="19" spans="2:11" ht="15" customHeight="1">
      <c r="B19" s="32"/>
    </row>
    <row r="20" spans="2:11" ht="15" customHeight="1">
      <c r="B20" s="31" t="s">
        <v>232</v>
      </c>
    </row>
    <row r="21" spans="2:11" ht="15" customHeight="1">
      <c r="B21" s="31" t="s">
        <v>159</v>
      </c>
    </row>
    <row r="22" spans="2:11" ht="15" customHeight="1">
      <c r="B22" s="31" t="s">
        <v>233</v>
      </c>
    </row>
    <row r="23" spans="2:11" ht="15" customHeight="1">
      <c r="B23" s="31" t="s">
        <v>91</v>
      </c>
    </row>
    <row r="24" spans="2:11" ht="15" customHeight="1">
      <c r="B24" s="31"/>
    </row>
    <row r="25" spans="2:11" ht="15" customHeight="1">
      <c r="B25" s="275" t="s">
        <v>96</v>
      </c>
      <c r="C25" s="89"/>
      <c r="D25" s="89"/>
      <c r="E25" s="89"/>
      <c r="F25" s="89"/>
      <c r="G25" s="89"/>
      <c r="H25" s="89"/>
      <c r="I25" s="89"/>
      <c r="J25" s="89"/>
      <c r="K25" s="89"/>
    </row>
    <row r="26" spans="2:11" ht="15" customHeight="1">
      <c r="B26" s="137" t="s">
        <v>160</v>
      </c>
      <c r="C26" s="89"/>
      <c r="D26" s="89"/>
      <c r="E26" s="89"/>
      <c r="F26" s="89"/>
      <c r="G26" s="89"/>
      <c r="H26" s="89"/>
      <c r="I26" s="89"/>
      <c r="J26" s="89"/>
      <c r="K26" s="89"/>
    </row>
    <row r="27" spans="2:11" ht="15" customHeight="1">
      <c r="B27" s="88" t="s">
        <v>161</v>
      </c>
      <c r="C27" s="89"/>
      <c r="D27" s="89"/>
      <c r="E27" s="89"/>
      <c r="F27" s="89"/>
      <c r="G27" s="89"/>
      <c r="H27" s="89"/>
      <c r="I27" s="89"/>
      <c r="J27" s="89"/>
      <c r="K27" s="89"/>
    </row>
    <row r="28" spans="2:11" ht="15" customHeight="1">
      <c r="B28" s="137" t="s">
        <v>97</v>
      </c>
      <c r="C28" s="89"/>
      <c r="D28" s="89"/>
      <c r="E28" s="89"/>
      <c r="F28" s="89"/>
      <c r="G28" s="89"/>
      <c r="H28" s="89"/>
      <c r="I28" s="89"/>
      <c r="J28" s="89"/>
      <c r="K28" s="89"/>
    </row>
    <row r="29" spans="2:11" ht="15" customHeight="1">
      <c r="B29" s="88" t="s">
        <v>218</v>
      </c>
      <c r="C29" s="89"/>
      <c r="D29" s="89"/>
      <c r="E29" s="89"/>
      <c r="F29" s="89"/>
      <c r="G29" s="89"/>
      <c r="H29" s="89"/>
      <c r="I29" s="89"/>
      <c r="J29" s="89"/>
      <c r="K29" s="89"/>
    </row>
    <row r="30" spans="2:11" ht="15" customHeight="1">
      <c r="B30" s="137" t="s">
        <v>219</v>
      </c>
      <c r="C30" s="89"/>
      <c r="D30" s="89"/>
      <c r="E30" s="89"/>
      <c r="F30" s="89"/>
      <c r="G30" s="89"/>
      <c r="H30" s="89"/>
      <c r="I30" s="89"/>
      <c r="J30" s="89"/>
      <c r="K30" s="89"/>
    </row>
    <row r="31" spans="2:11" ht="15" customHeight="1">
      <c r="B31" s="88" t="s">
        <v>98</v>
      </c>
      <c r="C31" s="89"/>
      <c r="D31" s="89"/>
      <c r="E31" s="89"/>
      <c r="F31" s="89"/>
      <c r="G31" s="89"/>
      <c r="H31" s="89"/>
      <c r="I31" s="89"/>
      <c r="J31" s="89"/>
      <c r="K31" s="89"/>
    </row>
    <row r="32" spans="2:11" ht="15" customHeight="1">
      <c r="B32" s="88" t="s">
        <v>162</v>
      </c>
      <c r="C32" s="89"/>
      <c r="D32" s="89"/>
      <c r="E32" s="89"/>
      <c r="F32" s="89"/>
      <c r="G32" s="89"/>
      <c r="H32" s="89"/>
      <c r="I32" s="89"/>
      <c r="J32" s="89"/>
      <c r="K32" s="89"/>
    </row>
    <row r="33" spans="2:11" ht="15" customHeight="1">
      <c r="B33" s="88" t="s">
        <v>163</v>
      </c>
      <c r="C33" s="89"/>
      <c r="D33" s="89"/>
      <c r="E33" s="89"/>
      <c r="F33" s="89"/>
      <c r="G33" s="89"/>
      <c r="H33" s="89"/>
      <c r="I33" s="89"/>
      <c r="J33" s="89"/>
      <c r="K33" s="89"/>
    </row>
    <row r="34" spans="2:11" ht="15" customHeight="1">
      <c r="B34" s="88" t="s">
        <v>165</v>
      </c>
      <c r="C34" s="89"/>
      <c r="D34" s="89"/>
      <c r="E34" s="89"/>
      <c r="F34" s="89"/>
      <c r="G34" s="89"/>
      <c r="H34" s="89"/>
      <c r="I34" s="89"/>
      <c r="J34" s="89"/>
      <c r="K34" s="89"/>
    </row>
    <row r="35" spans="2:11" ht="15" customHeight="1">
      <c r="B35" s="88" t="s">
        <v>164</v>
      </c>
      <c r="C35" s="89"/>
      <c r="D35" s="89"/>
      <c r="E35" s="89"/>
      <c r="F35" s="89"/>
      <c r="G35" s="89"/>
      <c r="H35" s="89"/>
      <c r="I35" s="89"/>
      <c r="J35" s="89"/>
      <c r="K35" s="89"/>
    </row>
    <row r="36" spans="2:11" ht="15" customHeight="1">
      <c r="B36" s="88"/>
      <c r="C36" s="89"/>
      <c r="D36" s="89"/>
      <c r="E36" s="89"/>
      <c r="F36" s="89"/>
      <c r="G36" s="89"/>
      <c r="H36" s="89"/>
      <c r="I36" s="89"/>
      <c r="J36" s="89"/>
      <c r="K36" s="89"/>
    </row>
    <row r="37" spans="2:11" ht="15" customHeight="1">
      <c r="B37" s="230" t="s">
        <v>99</v>
      </c>
    </row>
    <row r="38" spans="2:11" ht="15" customHeight="1">
      <c r="B38" s="92" t="s">
        <v>167</v>
      </c>
    </row>
    <row r="39" spans="2:11" ht="15" customHeight="1">
      <c r="B39" s="92" t="s">
        <v>166</v>
      </c>
    </row>
    <row r="40" spans="2:11" ht="15" customHeight="1">
      <c r="B40" s="31"/>
    </row>
    <row r="41" spans="2:11" ht="15" customHeight="1">
      <c r="B41" s="31" t="s">
        <v>103</v>
      </c>
    </row>
    <row r="42" spans="2:11" ht="15" customHeight="1">
      <c r="B42" s="92" t="s">
        <v>104</v>
      </c>
    </row>
    <row r="44" spans="2:11" ht="15" customHeight="1">
      <c r="C44" s="31" t="s">
        <v>92</v>
      </c>
    </row>
    <row r="45" spans="2:11" ht="15" customHeight="1">
      <c r="C45" s="31" t="s">
        <v>93</v>
      </c>
    </row>
    <row r="46" spans="2:11" ht="15" customHeight="1">
      <c r="C46" s="225" t="s">
        <v>94</v>
      </c>
    </row>
    <row r="47" spans="2:11" ht="15" customHeight="1">
      <c r="C47" s="225" t="s">
        <v>95</v>
      </c>
    </row>
  </sheetData>
  <mergeCells count="3">
    <mergeCell ref="D13:E13"/>
    <mergeCell ref="D14:E14"/>
    <mergeCell ref="D15:E15"/>
  </mergeCells>
  <phoneticPr fontId="0" type="noConversion"/>
  <pageMargins left="0.70866141732283472" right="0.70866141732283472" top="0.15748031496062992" bottom="0.19685039370078741" header="0.31496062992125984" footer="0.31496062992125984"/>
  <pageSetup paperSize="9" scale="73" orientation="landscape"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14:formula1>
            <xm:f>'Financial Report '!$B$302:$B$313</xm:f>
          </x14:formula1>
          <xm:sqref>D15:E15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L109"/>
  <sheetViews>
    <sheetView workbookViewId="0">
      <selection activeCell="B14" sqref="B14"/>
    </sheetView>
  </sheetViews>
  <sheetFormatPr defaultRowHeight="12.75"/>
  <cols>
    <col min="1" max="1" width="2.42578125" style="89" customWidth="1"/>
    <col min="2" max="2" width="37.28515625" style="89" customWidth="1"/>
    <col min="3" max="3" width="2.42578125" style="89" customWidth="1"/>
    <col min="4" max="4" width="12.7109375" style="89" customWidth="1"/>
    <col min="5" max="5" width="2.85546875" style="89" customWidth="1"/>
    <col min="6" max="7" width="12.7109375" style="89" customWidth="1"/>
    <col min="8" max="8" width="6" style="89" customWidth="1"/>
    <col min="9" max="11" width="12.7109375" style="89" customWidth="1"/>
    <col min="12" max="12" width="3.140625" style="89" customWidth="1"/>
    <col min="13" max="15" width="12.7109375" style="89" customWidth="1"/>
    <col min="16" max="16" width="9.85546875" style="89" customWidth="1"/>
    <col min="17" max="17" width="9.140625" style="89" customWidth="1"/>
    <col min="18" max="18" width="2.85546875" style="89" customWidth="1"/>
    <col min="19" max="20" width="12.7109375" style="89" customWidth="1"/>
    <col min="21" max="38" width="9.140625" style="89"/>
  </cols>
  <sheetData>
    <row r="1" spans="1:38" s="1" customFormat="1" ht="24.95" customHeight="1">
      <c r="A1" s="83"/>
      <c r="B1" s="180" t="str">
        <f>"Summary Monthly Report : "&amp;Instructions!D13</f>
        <v>Summary Monthly Report : Example Sporting Organisation</v>
      </c>
      <c r="C1" s="83"/>
      <c r="D1" s="83"/>
      <c r="E1" s="83"/>
      <c r="F1" s="178"/>
      <c r="G1" s="83"/>
      <c r="H1" s="83"/>
      <c r="I1" s="178"/>
      <c r="J1" s="83"/>
      <c r="K1" s="83"/>
      <c r="L1" s="178"/>
      <c r="M1" s="178"/>
      <c r="N1" s="178"/>
      <c r="O1" s="178"/>
      <c r="P1" s="83"/>
      <c r="Q1" s="83"/>
      <c r="R1" s="83"/>
      <c r="S1" s="83"/>
      <c r="T1" s="83"/>
      <c r="U1" s="83"/>
      <c r="V1" s="83"/>
      <c r="W1" s="83"/>
      <c r="X1" s="83"/>
      <c r="Y1" s="83"/>
      <c r="Z1" s="83"/>
      <c r="AA1" s="83"/>
      <c r="AB1" s="83"/>
      <c r="AC1" s="83"/>
      <c r="AD1" s="83"/>
      <c r="AE1" s="83"/>
      <c r="AF1" s="83"/>
      <c r="AG1" s="83"/>
      <c r="AH1" s="83"/>
      <c r="AI1" s="83"/>
      <c r="AJ1" s="83"/>
      <c r="AK1" s="83"/>
      <c r="AL1" s="83"/>
    </row>
    <row r="2" spans="1:38">
      <c r="B2" s="275" t="s">
        <v>169</v>
      </c>
    </row>
    <row r="4" spans="1:38">
      <c r="B4" s="88" t="s">
        <v>66</v>
      </c>
      <c r="D4" s="181">
        <f>Instructions!D15</f>
        <v>41882</v>
      </c>
      <c r="E4" s="181"/>
    </row>
    <row r="6" spans="1:38">
      <c r="B6" s="198" t="s">
        <v>68</v>
      </c>
      <c r="C6" s="199"/>
      <c r="D6" s="341">
        <f>D4</f>
        <v>41882</v>
      </c>
      <c r="E6" s="341"/>
      <c r="F6" s="342"/>
      <c r="G6" s="342"/>
      <c r="H6" s="232"/>
      <c r="I6" s="341" t="s">
        <v>9</v>
      </c>
      <c r="J6" s="342"/>
      <c r="K6" s="343"/>
    </row>
    <row r="7" spans="1:38">
      <c r="B7" s="216"/>
      <c r="C7" s="201"/>
      <c r="D7" s="217"/>
      <c r="E7" s="278"/>
      <c r="F7" s="218"/>
      <c r="G7" s="218"/>
      <c r="H7" s="218"/>
      <c r="I7" s="217"/>
      <c r="J7" s="218"/>
      <c r="K7" s="219"/>
    </row>
    <row r="8" spans="1:38">
      <c r="B8" s="200"/>
      <c r="C8" s="201"/>
      <c r="D8" s="202" t="s">
        <v>7</v>
      </c>
      <c r="E8" s="202"/>
      <c r="F8" s="202" t="s">
        <v>8</v>
      </c>
      <c r="G8" s="202" t="s">
        <v>20</v>
      </c>
      <c r="H8" s="202"/>
      <c r="I8" s="202" t="s">
        <v>7</v>
      </c>
      <c r="J8" s="202" t="s">
        <v>8</v>
      </c>
      <c r="K8" s="203" t="s">
        <v>20</v>
      </c>
    </row>
    <row r="9" spans="1:38">
      <c r="B9" s="204" t="s">
        <v>72</v>
      </c>
      <c r="C9" s="201"/>
      <c r="D9" s="205">
        <f>'Financial Report '!F23</f>
        <v>1295</v>
      </c>
      <c r="E9" s="205"/>
      <c r="F9" s="205">
        <f>'Financial Report '!G23</f>
        <v>1650</v>
      </c>
      <c r="G9" s="205">
        <f>'Financial Report '!H23</f>
        <v>-355</v>
      </c>
      <c r="H9" s="205"/>
      <c r="I9" s="205">
        <f>'Financial Report '!K23</f>
        <v>2470</v>
      </c>
      <c r="J9" s="205">
        <f>'Financial Report '!L23</f>
        <v>3177</v>
      </c>
      <c r="K9" s="206">
        <f>'Financial Report '!M23</f>
        <v>-707</v>
      </c>
    </row>
    <row r="10" spans="1:38">
      <c r="B10" s="204" t="s">
        <v>85</v>
      </c>
      <c r="C10" s="201"/>
      <c r="D10" s="205">
        <f>'Financial Report '!F49</f>
        <v>1029</v>
      </c>
      <c r="E10" s="205"/>
      <c r="F10" s="205">
        <f>'Financial Report '!G49</f>
        <v>1315</v>
      </c>
      <c r="G10" s="205">
        <f>'Financial Report '!H49</f>
        <v>286</v>
      </c>
      <c r="H10" s="205"/>
      <c r="I10" s="205">
        <f>'Financial Report '!K49</f>
        <v>2338</v>
      </c>
      <c r="J10" s="205">
        <f>'Financial Report '!L49</f>
        <v>2630</v>
      </c>
      <c r="K10" s="206">
        <f>'Financial Report '!M49</f>
        <v>292</v>
      </c>
    </row>
    <row r="11" spans="1:38">
      <c r="B11" s="204" t="s">
        <v>207</v>
      </c>
      <c r="C11" s="201"/>
      <c r="D11" s="223">
        <f>'Financial Report '!F51</f>
        <v>266</v>
      </c>
      <c r="E11" s="223"/>
      <c r="F11" s="223">
        <f>'Financial Report '!G51</f>
        <v>335</v>
      </c>
      <c r="G11" s="223">
        <f>'Financial Report '!H51</f>
        <v>-69</v>
      </c>
      <c r="H11" s="205"/>
      <c r="I11" s="223">
        <f>'Financial Report '!K51</f>
        <v>132</v>
      </c>
      <c r="J11" s="223">
        <f>'Financial Report '!L51</f>
        <v>547</v>
      </c>
      <c r="K11" s="224">
        <f>'Financial Report '!M51</f>
        <v>-415</v>
      </c>
    </row>
    <row r="12" spans="1:38">
      <c r="B12" s="200"/>
      <c r="C12" s="201"/>
      <c r="D12" s="201"/>
      <c r="E12" s="201"/>
      <c r="F12" s="201"/>
      <c r="G12" s="201"/>
      <c r="H12" s="201"/>
      <c r="I12" s="201"/>
      <c r="J12" s="201"/>
      <c r="K12" s="206"/>
    </row>
    <row r="13" spans="1:38">
      <c r="B13" s="204" t="s">
        <v>157</v>
      </c>
      <c r="C13" s="201"/>
      <c r="D13" s="201"/>
      <c r="E13" s="201"/>
      <c r="F13" s="201"/>
      <c r="G13" s="205">
        <f>'Financial Report '!G109</f>
        <v>2000</v>
      </c>
      <c r="H13" s="201"/>
      <c r="I13" s="201"/>
      <c r="J13" s="201"/>
      <c r="K13" s="207"/>
    </row>
    <row r="14" spans="1:38">
      <c r="B14" s="204" t="s">
        <v>67</v>
      </c>
      <c r="C14" s="201"/>
      <c r="D14" s="201"/>
      <c r="E14" s="201"/>
      <c r="F14" s="201"/>
      <c r="G14" s="208">
        <f>'Financial Report '!G115</f>
        <v>0.1875</v>
      </c>
      <c r="H14" s="201"/>
      <c r="I14" s="201"/>
      <c r="J14" s="201"/>
      <c r="K14" s="207"/>
    </row>
    <row r="15" spans="1:38">
      <c r="B15" s="204" t="s">
        <v>135</v>
      </c>
      <c r="C15" s="201"/>
      <c r="D15" s="201"/>
      <c r="E15" s="201"/>
      <c r="F15" s="201"/>
      <c r="G15" s="205">
        <f>'Financial Report '!G113</f>
        <v>50</v>
      </c>
      <c r="H15" s="201"/>
      <c r="I15" s="201"/>
      <c r="J15" s="201"/>
      <c r="K15" s="207"/>
    </row>
    <row r="16" spans="1:38">
      <c r="B16" s="204" t="s">
        <v>156</v>
      </c>
      <c r="G16" s="205">
        <f>'Financial Report '!G119</f>
        <v>-790</v>
      </c>
      <c r="H16" s="201"/>
      <c r="I16" s="201"/>
      <c r="J16" s="201"/>
      <c r="K16" s="207"/>
    </row>
    <row r="17" spans="2:17">
      <c r="B17" s="209"/>
      <c r="C17" s="210"/>
      <c r="D17" s="210"/>
      <c r="E17" s="210"/>
      <c r="F17" s="210"/>
      <c r="G17" s="211"/>
      <c r="H17" s="210"/>
      <c r="I17" s="210"/>
      <c r="J17" s="210"/>
      <c r="K17" s="212"/>
    </row>
    <row r="18" spans="2:17" ht="12.75" customHeight="1">
      <c r="B18" s="350" t="s">
        <v>206</v>
      </c>
      <c r="C18" s="351"/>
      <c r="D18" s="351"/>
      <c r="E18" s="351"/>
      <c r="F18" s="351"/>
      <c r="G18" s="351"/>
      <c r="H18" s="351"/>
      <c r="I18" s="351"/>
      <c r="J18" s="351"/>
      <c r="K18" s="352"/>
      <c r="M18" s="344"/>
      <c r="N18" s="345"/>
      <c r="O18" s="345"/>
      <c r="P18" s="345"/>
      <c r="Q18" s="346"/>
    </row>
    <row r="19" spans="2:17">
      <c r="B19" s="344"/>
      <c r="C19" s="345"/>
      <c r="D19" s="345"/>
      <c r="E19" s="345"/>
      <c r="F19" s="345"/>
      <c r="G19" s="345"/>
      <c r="H19" s="345"/>
      <c r="I19" s="345"/>
      <c r="J19" s="345"/>
      <c r="K19" s="346"/>
      <c r="M19" s="344"/>
      <c r="N19" s="345"/>
      <c r="O19" s="345"/>
      <c r="P19" s="345"/>
      <c r="Q19" s="346"/>
    </row>
    <row r="20" spans="2:17">
      <c r="B20" s="347"/>
      <c r="C20" s="348"/>
      <c r="D20" s="348"/>
      <c r="E20" s="348"/>
      <c r="F20" s="348"/>
      <c r="G20" s="348"/>
      <c r="H20" s="348"/>
      <c r="I20" s="348"/>
      <c r="J20" s="348"/>
      <c r="K20" s="349"/>
      <c r="M20" s="347"/>
      <c r="N20" s="348"/>
      <c r="O20" s="348"/>
      <c r="P20" s="348"/>
      <c r="Q20" s="349"/>
    </row>
    <row r="22" spans="2:17">
      <c r="B22" s="198" t="s">
        <v>69</v>
      </c>
      <c r="C22" s="199"/>
      <c r="D22" s="220">
        <f>D4</f>
        <v>41882</v>
      </c>
      <c r="E22" s="277"/>
      <c r="F22" s="201"/>
      <c r="G22" s="201"/>
      <c r="H22" s="201"/>
      <c r="I22" s="201"/>
      <c r="J22" s="201"/>
      <c r="K22" s="201"/>
    </row>
    <row r="23" spans="2:17">
      <c r="B23" s="216"/>
      <c r="C23" s="201"/>
      <c r="D23" s="221"/>
      <c r="E23" s="277"/>
      <c r="F23" s="201"/>
      <c r="G23" s="201"/>
      <c r="H23" s="201"/>
      <c r="I23" s="201"/>
      <c r="J23" s="201"/>
      <c r="K23" s="201"/>
    </row>
    <row r="24" spans="2:17">
      <c r="B24" s="204" t="s">
        <v>134</v>
      </c>
      <c r="C24" s="201"/>
      <c r="D24" s="206">
        <f>'Financial Report '!F161</f>
        <v>1160</v>
      </c>
      <c r="E24" s="205"/>
      <c r="F24" s="201"/>
      <c r="G24" s="201"/>
      <c r="H24" s="201"/>
      <c r="I24" s="201"/>
      <c r="J24" s="201"/>
      <c r="K24" s="201"/>
    </row>
    <row r="25" spans="2:17" ht="6" customHeight="1">
      <c r="B25" s="200"/>
      <c r="C25" s="201"/>
      <c r="D25" s="207"/>
      <c r="E25" s="201"/>
      <c r="F25" s="201"/>
      <c r="G25" s="201"/>
      <c r="H25" s="201"/>
      <c r="I25" s="201"/>
      <c r="J25" s="201"/>
      <c r="K25" s="201"/>
    </row>
    <row r="26" spans="2:17">
      <c r="B26" s="200" t="s">
        <v>38</v>
      </c>
      <c r="C26" s="201"/>
      <c r="D26" s="206">
        <f>'Financial Report '!F154</f>
        <v>1301</v>
      </c>
      <c r="E26" s="205"/>
      <c r="F26" s="201"/>
      <c r="G26" s="201"/>
      <c r="H26" s="201"/>
      <c r="I26" s="201"/>
      <c r="J26" s="201"/>
      <c r="K26" s="201"/>
    </row>
    <row r="27" spans="2:17" ht="6" customHeight="1">
      <c r="B27" s="200"/>
      <c r="C27" s="201"/>
      <c r="D27" s="207"/>
      <c r="E27" s="201"/>
      <c r="F27" s="201"/>
      <c r="G27" s="201"/>
      <c r="H27" s="201"/>
      <c r="I27" s="201"/>
      <c r="J27" s="201"/>
      <c r="K27" s="201"/>
    </row>
    <row r="28" spans="2:17">
      <c r="B28" s="204" t="s">
        <v>132</v>
      </c>
      <c r="C28" s="201"/>
      <c r="D28" s="206">
        <f>'Financial Report '!F156+'Financial Report '!F152</f>
        <v>2801</v>
      </c>
      <c r="E28" s="205"/>
      <c r="F28" s="201"/>
      <c r="G28" s="201"/>
      <c r="H28" s="201"/>
      <c r="I28" s="201"/>
      <c r="J28" s="201"/>
      <c r="K28" s="201"/>
    </row>
    <row r="29" spans="2:17">
      <c r="B29" s="204" t="s">
        <v>133</v>
      </c>
      <c r="C29" s="201"/>
      <c r="D29" s="206">
        <f>'Financial Report '!F153+'Financial Report '!F157</f>
        <v>1335</v>
      </c>
      <c r="E29" s="205"/>
      <c r="F29" s="201"/>
      <c r="G29" s="201"/>
      <c r="H29" s="201"/>
      <c r="I29" s="201"/>
      <c r="J29" s="201"/>
      <c r="K29" s="201"/>
    </row>
    <row r="30" spans="2:17" ht="13.5" thickBot="1">
      <c r="B30" s="216" t="s">
        <v>89</v>
      </c>
      <c r="C30" s="201"/>
      <c r="D30" s="312">
        <f>D28-D29</f>
        <v>1466</v>
      </c>
      <c r="E30" s="205"/>
      <c r="F30" s="213"/>
      <c r="G30" s="201"/>
      <c r="H30" s="201"/>
      <c r="I30" s="201"/>
      <c r="J30" s="201"/>
      <c r="K30" s="201"/>
    </row>
    <row r="31" spans="2:17" ht="6" customHeight="1" thickTop="1">
      <c r="B31" s="204"/>
      <c r="C31" s="201"/>
      <c r="D31" s="206"/>
      <c r="E31" s="205"/>
      <c r="F31" s="213"/>
      <c r="G31" s="201"/>
      <c r="H31" s="201"/>
      <c r="I31" s="201"/>
      <c r="J31" s="201"/>
      <c r="K31" s="201"/>
    </row>
    <row r="32" spans="2:17">
      <c r="B32" s="204" t="s">
        <v>113</v>
      </c>
      <c r="C32" s="201"/>
      <c r="D32" s="206">
        <f>'Financial Report '!E167</f>
        <v>350</v>
      </c>
      <c r="E32" s="205"/>
      <c r="F32" s="213"/>
      <c r="G32" s="201"/>
      <c r="H32" s="201"/>
      <c r="I32" s="201"/>
      <c r="J32" s="201"/>
      <c r="K32" s="201"/>
    </row>
    <row r="33" spans="2:17">
      <c r="B33" s="204" t="s">
        <v>114</v>
      </c>
      <c r="C33" s="201"/>
      <c r="D33" s="206">
        <f>'Financial Report '!E168</f>
        <v>170</v>
      </c>
      <c r="E33" s="205"/>
      <c r="F33" s="201"/>
      <c r="G33" s="201"/>
      <c r="H33" s="201"/>
      <c r="I33" s="201"/>
      <c r="J33" s="201"/>
      <c r="K33" s="201"/>
    </row>
    <row r="34" spans="2:17">
      <c r="B34" s="214"/>
      <c r="C34" s="210"/>
      <c r="D34" s="222"/>
      <c r="E34" s="280"/>
      <c r="F34" s="201"/>
      <c r="G34" s="201"/>
      <c r="H34" s="201"/>
      <c r="I34" s="201"/>
      <c r="J34" s="201"/>
      <c r="K34" s="201"/>
    </row>
    <row r="35" spans="2:17">
      <c r="B35" s="350" t="s">
        <v>190</v>
      </c>
      <c r="C35" s="351"/>
      <c r="D35" s="352"/>
      <c r="E35" s="201"/>
      <c r="F35" s="344" t="s">
        <v>190</v>
      </c>
      <c r="G35" s="345"/>
      <c r="H35" s="345"/>
      <c r="I35" s="345"/>
      <c r="J35" s="345"/>
      <c r="K35" s="346"/>
      <c r="M35" s="344" t="s">
        <v>190</v>
      </c>
      <c r="N35" s="345"/>
      <c r="O35" s="345"/>
      <c r="P35" s="345"/>
      <c r="Q35" s="346"/>
    </row>
    <row r="36" spans="2:17">
      <c r="B36" s="344"/>
      <c r="C36" s="345"/>
      <c r="D36" s="346"/>
      <c r="E36" s="201"/>
      <c r="F36" s="344"/>
      <c r="G36" s="345"/>
      <c r="H36" s="345"/>
      <c r="I36" s="345"/>
      <c r="J36" s="345"/>
      <c r="K36" s="346"/>
      <c r="M36" s="344"/>
      <c r="N36" s="345"/>
      <c r="O36" s="345"/>
      <c r="P36" s="345"/>
      <c r="Q36" s="346"/>
    </row>
    <row r="37" spans="2:17">
      <c r="B37" s="347"/>
      <c r="C37" s="348"/>
      <c r="D37" s="349"/>
      <c r="E37" s="201"/>
      <c r="F37" s="347"/>
      <c r="G37" s="348"/>
      <c r="H37" s="348"/>
      <c r="I37" s="348"/>
      <c r="J37" s="348"/>
      <c r="K37" s="349"/>
      <c r="M37" s="347"/>
      <c r="N37" s="348"/>
      <c r="O37" s="348"/>
      <c r="P37" s="348"/>
      <c r="Q37" s="349"/>
    </row>
    <row r="38" spans="2:17">
      <c r="B38" s="201"/>
      <c r="C38" s="201"/>
      <c r="D38" s="201"/>
      <c r="E38" s="201"/>
      <c r="F38" s="201"/>
      <c r="G38" s="201"/>
      <c r="H38" s="201"/>
      <c r="I38" s="201"/>
      <c r="J38" s="201"/>
      <c r="K38" s="201"/>
    </row>
    <row r="39" spans="2:17">
      <c r="B39" s="88"/>
      <c r="M39" s="282"/>
      <c r="N39" s="199"/>
      <c r="O39" s="199"/>
      <c r="P39" s="199"/>
      <c r="Q39" s="283"/>
    </row>
    <row r="40" spans="2:17">
      <c r="M40" s="200"/>
      <c r="N40" s="201"/>
      <c r="O40" s="201"/>
      <c r="P40" s="201"/>
      <c r="Q40" s="207"/>
    </row>
    <row r="41" spans="2:17">
      <c r="B41" s="88"/>
      <c r="M41" s="200"/>
      <c r="N41" s="201"/>
      <c r="O41" s="201"/>
      <c r="P41" s="201"/>
      <c r="Q41" s="207"/>
    </row>
    <row r="42" spans="2:17">
      <c r="M42" s="200"/>
      <c r="N42" s="201"/>
      <c r="O42" s="201"/>
      <c r="P42" s="201"/>
      <c r="Q42" s="207"/>
    </row>
    <row r="43" spans="2:17">
      <c r="M43" s="200"/>
      <c r="N43" s="201"/>
      <c r="O43" s="201"/>
      <c r="P43" s="201"/>
      <c r="Q43" s="207"/>
    </row>
    <row r="44" spans="2:17">
      <c r="M44" s="200"/>
      <c r="N44" s="201"/>
      <c r="O44" s="201"/>
      <c r="P44" s="201"/>
      <c r="Q44" s="207"/>
    </row>
    <row r="45" spans="2:17">
      <c r="M45" s="200"/>
      <c r="N45" s="201"/>
      <c r="O45" s="201"/>
      <c r="P45" s="201"/>
      <c r="Q45" s="207"/>
    </row>
    <row r="46" spans="2:17">
      <c r="M46" s="200"/>
      <c r="N46" s="201"/>
      <c r="O46" s="201"/>
      <c r="P46" s="201"/>
      <c r="Q46" s="207"/>
    </row>
    <row r="47" spans="2:17">
      <c r="M47" s="200"/>
      <c r="N47" s="201"/>
      <c r="O47" s="201"/>
      <c r="P47" s="201"/>
      <c r="Q47" s="207"/>
    </row>
    <row r="48" spans="2:17">
      <c r="M48" s="200"/>
      <c r="N48" s="201"/>
      <c r="O48" s="201"/>
      <c r="P48" s="201"/>
      <c r="Q48" s="207"/>
    </row>
    <row r="49" spans="1:38">
      <c r="M49" s="200"/>
      <c r="N49" s="201"/>
      <c r="O49" s="201"/>
      <c r="P49" s="201"/>
      <c r="Q49" s="207"/>
    </row>
    <row r="50" spans="1:38">
      <c r="M50" s="200"/>
      <c r="N50" s="201"/>
      <c r="O50" s="201"/>
      <c r="P50" s="201"/>
      <c r="Q50" s="207"/>
    </row>
    <row r="51" spans="1:38">
      <c r="M51" s="200"/>
      <c r="N51" s="201"/>
      <c r="O51" s="201"/>
      <c r="P51" s="201"/>
      <c r="Q51" s="207"/>
    </row>
    <row r="52" spans="1:38">
      <c r="B52" s="344" t="s">
        <v>190</v>
      </c>
      <c r="C52" s="345"/>
      <c r="D52" s="346"/>
      <c r="F52" s="344" t="s">
        <v>190</v>
      </c>
      <c r="G52" s="345"/>
      <c r="H52" s="345"/>
      <c r="I52" s="345"/>
      <c r="J52" s="345"/>
      <c r="K52" s="346"/>
      <c r="M52" s="344" t="s">
        <v>190</v>
      </c>
      <c r="N52" s="345"/>
      <c r="O52" s="345"/>
      <c r="P52" s="345"/>
      <c r="Q52" s="346"/>
    </row>
    <row r="53" spans="1:38">
      <c r="B53" s="344"/>
      <c r="C53" s="345"/>
      <c r="D53" s="346"/>
      <c r="F53" s="344"/>
      <c r="G53" s="345"/>
      <c r="H53" s="345"/>
      <c r="I53" s="345"/>
      <c r="J53" s="345"/>
      <c r="K53" s="346"/>
      <c r="M53" s="344"/>
      <c r="N53" s="345"/>
      <c r="O53" s="345"/>
      <c r="P53" s="345"/>
      <c r="Q53" s="346"/>
    </row>
    <row r="54" spans="1:38">
      <c r="B54" s="347"/>
      <c r="C54" s="348"/>
      <c r="D54" s="349"/>
      <c r="F54" s="347"/>
      <c r="G54" s="348"/>
      <c r="H54" s="348"/>
      <c r="I54" s="348"/>
      <c r="J54" s="348"/>
      <c r="K54" s="349"/>
      <c r="M54" s="347"/>
      <c r="N54" s="348"/>
      <c r="O54" s="348"/>
      <c r="P54" s="348"/>
      <c r="Q54" s="349"/>
    </row>
    <row r="56" spans="1:38">
      <c r="B56" s="313"/>
    </row>
    <row r="57" spans="1:38" s="1" customFormat="1" ht="24.95" customHeight="1">
      <c r="A57" s="83"/>
      <c r="B57" s="180" t="str">
        <f>"Summary Monthly Report : "&amp;Instructions!D13</f>
        <v>Summary Monthly Report : Example Sporting Organisation</v>
      </c>
      <c r="C57" s="83"/>
      <c r="D57" s="83"/>
      <c r="E57" s="83"/>
      <c r="F57" s="178"/>
      <c r="G57" s="83"/>
      <c r="H57" s="83"/>
      <c r="I57" s="178"/>
      <c r="J57" s="83"/>
      <c r="K57" s="83"/>
      <c r="L57" s="178"/>
      <c r="M57" s="178"/>
      <c r="N57" s="178"/>
      <c r="O57" s="178"/>
      <c r="P57" s="83"/>
      <c r="Q57" s="83"/>
      <c r="R57" s="83"/>
      <c r="S57" s="83"/>
      <c r="T57" s="83"/>
      <c r="U57" s="83"/>
      <c r="V57" s="83"/>
      <c r="W57" s="83"/>
      <c r="X57" s="83"/>
      <c r="Y57" s="83"/>
      <c r="Z57" s="83"/>
      <c r="AA57" s="83"/>
      <c r="AB57" s="83"/>
      <c r="AC57" s="83"/>
      <c r="AD57" s="83"/>
      <c r="AE57" s="83"/>
      <c r="AF57" s="83"/>
      <c r="AG57" s="83"/>
      <c r="AH57" s="83"/>
      <c r="AI57" s="83"/>
      <c r="AJ57" s="83"/>
      <c r="AK57" s="83"/>
      <c r="AL57" s="83"/>
    </row>
    <row r="58" spans="1:38">
      <c r="B58" s="275" t="s">
        <v>203</v>
      </c>
    </row>
    <row r="60" spans="1:38">
      <c r="B60" s="88" t="s">
        <v>66</v>
      </c>
      <c r="D60" s="181">
        <f>D4</f>
        <v>41882</v>
      </c>
      <c r="E60" s="181"/>
    </row>
    <row r="62" spans="1:38">
      <c r="A62" s="201"/>
      <c r="B62" s="276"/>
      <c r="C62" s="201"/>
      <c r="D62" s="353"/>
      <c r="E62" s="353"/>
      <c r="F62" s="354"/>
      <c r="G62" s="354"/>
      <c r="H62" s="279"/>
      <c r="I62" s="353"/>
      <c r="J62" s="354"/>
      <c r="K62" s="354"/>
    </row>
    <row r="63" spans="1:38">
      <c r="A63" s="201"/>
      <c r="B63" s="276"/>
      <c r="C63" s="201"/>
      <c r="D63" s="278"/>
      <c r="E63" s="278"/>
      <c r="F63" s="279"/>
      <c r="G63" s="279"/>
      <c r="H63" s="279"/>
      <c r="I63" s="278"/>
      <c r="J63" s="279"/>
      <c r="K63" s="279"/>
    </row>
    <row r="64" spans="1:38">
      <c r="A64" s="201"/>
      <c r="B64" s="201"/>
      <c r="C64" s="201"/>
      <c r="D64" s="202"/>
      <c r="E64" s="202"/>
      <c r="F64" s="202"/>
      <c r="G64" s="202"/>
      <c r="H64" s="202"/>
      <c r="I64" s="202"/>
      <c r="J64" s="202"/>
      <c r="K64" s="202"/>
    </row>
    <row r="65" spans="1:11">
      <c r="A65" s="201"/>
      <c r="B65" s="213"/>
      <c r="C65" s="201"/>
      <c r="D65" s="205"/>
      <c r="E65" s="205"/>
      <c r="F65" s="205"/>
      <c r="G65" s="205"/>
      <c r="H65" s="205"/>
      <c r="I65" s="205"/>
      <c r="J65" s="205"/>
      <c r="K65" s="205"/>
    </row>
    <row r="66" spans="1:11">
      <c r="A66" s="201"/>
      <c r="B66" s="213"/>
      <c r="C66" s="201"/>
      <c r="D66" s="205"/>
      <c r="E66" s="205"/>
      <c r="F66" s="205"/>
      <c r="G66" s="205"/>
      <c r="H66" s="205"/>
      <c r="I66" s="205"/>
      <c r="J66" s="205"/>
      <c r="K66" s="205"/>
    </row>
    <row r="67" spans="1:11">
      <c r="A67" s="201"/>
      <c r="B67" s="213"/>
      <c r="C67" s="201"/>
      <c r="D67" s="201"/>
      <c r="E67" s="201"/>
      <c r="F67" s="201"/>
      <c r="G67" s="208"/>
      <c r="H67" s="201"/>
      <c r="I67" s="201"/>
      <c r="J67" s="201"/>
      <c r="K67" s="201"/>
    </row>
    <row r="68" spans="1:11">
      <c r="A68" s="201"/>
      <c r="B68" s="213"/>
      <c r="C68" s="201"/>
      <c r="D68" s="201"/>
      <c r="E68" s="201"/>
      <c r="F68" s="201"/>
      <c r="G68" s="205"/>
      <c r="H68" s="201"/>
      <c r="I68" s="201"/>
      <c r="J68" s="201"/>
      <c r="K68" s="201"/>
    </row>
    <row r="69" spans="1:11">
      <c r="A69" s="201"/>
      <c r="B69" s="213"/>
      <c r="C69" s="201"/>
      <c r="D69" s="201"/>
      <c r="E69" s="201"/>
      <c r="F69" s="201"/>
      <c r="G69" s="205"/>
      <c r="H69" s="201"/>
      <c r="I69" s="201"/>
      <c r="J69" s="201"/>
      <c r="K69" s="201"/>
    </row>
    <row r="70" spans="1:11">
      <c r="A70" s="201"/>
      <c r="B70" s="213"/>
      <c r="C70" s="201"/>
      <c r="D70" s="201"/>
      <c r="E70" s="201"/>
      <c r="F70" s="201"/>
      <c r="G70" s="205"/>
      <c r="H70" s="201"/>
      <c r="I70" s="201"/>
      <c r="J70" s="201"/>
      <c r="K70" s="201"/>
    </row>
    <row r="72" spans="1:11">
      <c r="B72" s="276"/>
      <c r="C72" s="201"/>
      <c r="D72" s="277"/>
      <c r="E72" s="277"/>
      <c r="F72" s="201"/>
      <c r="G72" s="201"/>
      <c r="H72" s="201"/>
      <c r="I72" s="201"/>
      <c r="J72" s="201"/>
      <c r="K72" s="201"/>
    </row>
    <row r="73" spans="1:11">
      <c r="B73" s="276"/>
      <c r="C73" s="201"/>
      <c r="D73" s="277"/>
      <c r="E73" s="277"/>
      <c r="F73" s="201"/>
      <c r="G73" s="201"/>
      <c r="H73" s="201"/>
      <c r="I73" s="201"/>
      <c r="J73" s="201"/>
      <c r="K73" s="201"/>
    </row>
    <row r="74" spans="1:11">
      <c r="B74" s="213"/>
      <c r="C74" s="201"/>
      <c r="D74" s="205"/>
      <c r="E74" s="205"/>
      <c r="F74" s="201"/>
      <c r="G74" s="201"/>
      <c r="H74" s="201"/>
      <c r="I74" s="201"/>
      <c r="J74" s="201"/>
      <c r="K74" s="201"/>
    </row>
    <row r="75" spans="1:11">
      <c r="B75" s="201"/>
      <c r="C75" s="201"/>
      <c r="D75" s="201"/>
      <c r="E75" s="201"/>
      <c r="F75" s="201"/>
      <c r="G75" s="201"/>
      <c r="H75" s="201"/>
      <c r="I75" s="201"/>
      <c r="J75" s="201"/>
      <c r="K75" s="201"/>
    </row>
    <row r="76" spans="1:11">
      <c r="B76" s="201"/>
      <c r="C76" s="201"/>
      <c r="D76" s="205"/>
      <c r="E76" s="205"/>
      <c r="F76" s="201"/>
      <c r="G76" s="201"/>
      <c r="H76" s="201"/>
      <c r="I76" s="201"/>
      <c r="J76" s="201"/>
      <c r="K76" s="201"/>
    </row>
    <row r="77" spans="1:11">
      <c r="B77" s="201"/>
      <c r="C77" s="201"/>
      <c r="D77" s="201"/>
      <c r="E77" s="201"/>
      <c r="F77" s="201"/>
      <c r="G77" s="201"/>
      <c r="H77" s="201"/>
      <c r="I77" s="201"/>
      <c r="J77" s="201"/>
      <c r="K77" s="201"/>
    </row>
    <row r="78" spans="1:11">
      <c r="B78" s="213"/>
      <c r="C78" s="201"/>
      <c r="D78" s="205"/>
      <c r="E78" s="205"/>
      <c r="F78" s="201"/>
      <c r="G78" s="201"/>
      <c r="H78" s="201"/>
      <c r="I78" s="201"/>
      <c r="J78" s="201"/>
      <c r="K78" s="201"/>
    </row>
    <row r="79" spans="1:11">
      <c r="B79" s="213"/>
      <c r="C79" s="201"/>
      <c r="D79" s="205"/>
      <c r="E79" s="205"/>
      <c r="F79" s="201"/>
      <c r="G79" s="201"/>
      <c r="H79" s="201"/>
      <c r="I79" s="201"/>
      <c r="J79" s="201"/>
      <c r="K79" s="201"/>
    </row>
    <row r="80" spans="1:11">
      <c r="B80" s="213"/>
      <c r="C80" s="201"/>
      <c r="D80" s="205"/>
      <c r="E80" s="205"/>
      <c r="F80" s="213"/>
      <c r="G80" s="201"/>
      <c r="H80" s="201"/>
      <c r="I80" s="201"/>
      <c r="J80" s="201"/>
      <c r="K80" s="201"/>
    </row>
    <row r="81" spans="2:11">
      <c r="B81" s="213"/>
      <c r="C81" s="201"/>
      <c r="D81" s="205"/>
      <c r="E81" s="205"/>
      <c r="F81" s="213"/>
      <c r="G81" s="201"/>
      <c r="H81" s="201"/>
      <c r="I81" s="201"/>
      <c r="J81" s="201"/>
      <c r="K81" s="201"/>
    </row>
    <row r="82" spans="2:11">
      <c r="B82" s="213"/>
      <c r="C82" s="201"/>
      <c r="D82" s="205"/>
      <c r="E82" s="205"/>
      <c r="F82" s="213"/>
      <c r="G82" s="201"/>
      <c r="H82" s="201"/>
      <c r="I82" s="201"/>
      <c r="J82" s="201"/>
      <c r="K82" s="201"/>
    </row>
    <row r="83" spans="2:11">
      <c r="B83" s="213"/>
      <c r="C83" s="201"/>
      <c r="D83" s="205"/>
      <c r="E83" s="205"/>
      <c r="F83" s="201"/>
      <c r="G83" s="201"/>
      <c r="H83" s="201"/>
      <c r="I83" s="201"/>
      <c r="J83" s="201"/>
      <c r="K83" s="201"/>
    </row>
    <row r="84" spans="2:11">
      <c r="B84" s="201"/>
      <c r="C84" s="201"/>
      <c r="D84" s="280"/>
      <c r="E84" s="280"/>
      <c r="F84" s="201"/>
      <c r="G84" s="201"/>
      <c r="H84" s="201"/>
      <c r="I84" s="201"/>
      <c r="J84" s="201"/>
      <c r="K84" s="201"/>
    </row>
    <row r="85" spans="2:11">
      <c r="B85" s="201"/>
      <c r="C85" s="201"/>
      <c r="D85" s="201"/>
      <c r="E85" s="201"/>
      <c r="F85" s="201"/>
      <c r="G85" s="201"/>
      <c r="H85" s="201"/>
      <c r="I85" s="201"/>
      <c r="J85" s="201"/>
      <c r="K85" s="201"/>
    </row>
    <row r="86" spans="2:11">
      <c r="B86" s="201"/>
      <c r="C86" s="201"/>
      <c r="D86" s="201"/>
      <c r="E86" s="201"/>
      <c r="F86" s="201"/>
      <c r="G86" s="201"/>
      <c r="H86" s="201"/>
      <c r="I86" s="201"/>
      <c r="J86" s="201"/>
      <c r="K86" s="201"/>
    </row>
    <row r="87" spans="2:11">
      <c r="B87" s="201"/>
      <c r="C87" s="201"/>
      <c r="D87" s="201"/>
      <c r="E87" s="201"/>
      <c r="F87" s="201"/>
      <c r="G87" s="201"/>
      <c r="H87" s="201"/>
      <c r="I87" s="201"/>
      <c r="J87" s="201"/>
      <c r="K87" s="201"/>
    </row>
    <row r="88" spans="2:11">
      <c r="B88" s="201"/>
      <c r="C88" s="201"/>
      <c r="D88" s="201"/>
      <c r="E88" s="201"/>
      <c r="F88" s="201"/>
      <c r="G88" s="201"/>
      <c r="H88" s="201"/>
      <c r="I88" s="201"/>
      <c r="J88" s="201"/>
      <c r="K88" s="201"/>
    </row>
    <row r="90" spans="2:11">
      <c r="B90" s="88"/>
    </row>
    <row r="101" spans="2:17">
      <c r="B101" s="350" t="s">
        <v>220</v>
      </c>
      <c r="C101" s="351"/>
      <c r="D101" s="351"/>
      <c r="E101" s="351"/>
      <c r="F101" s="351"/>
      <c r="G101" s="351"/>
      <c r="H101" s="351"/>
      <c r="I101" s="351"/>
      <c r="J101" s="351"/>
      <c r="K101" s="351"/>
      <c r="L101" s="351"/>
      <c r="M101" s="351"/>
      <c r="N101" s="351"/>
      <c r="O101" s="351"/>
      <c r="P101" s="351"/>
      <c r="Q101" s="352"/>
    </row>
    <row r="102" spans="2:17">
      <c r="B102" s="344"/>
      <c r="C102" s="345"/>
      <c r="D102" s="345"/>
      <c r="E102" s="345"/>
      <c r="F102" s="345"/>
      <c r="G102" s="345"/>
      <c r="H102" s="345"/>
      <c r="I102" s="345"/>
      <c r="J102" s="345"/>
      <c r="K102" s="345"/>
      <c r="L102" s="345"/>
      <c r="M102" s="345"/>
      <c r="N102" s="345"/>
      <c r="O102" s="345"/>
      <c r="P102" s="345"/>
      <c r="Q102" s="346"/>
    </row>
    <row r="103" spans="2:17">
      <c r="B103" s="344"/>
      <c r="C103" s="345"/>
      <c r="D103" s="345"/>
      <c r="E103" s="345"/>
      <c r="F103" s="345"/>
      <c r="G103" s="345"/>
      <c r="H103" s="345"/>
      <c r="I103" s="345"/>
      <c r="J103" s="345"/>
      <c r="K103" s="345"/>
      <c r="L103" s="345"/>
      <c r="M103" s="345"/>
      <c r="N103" s="345"/>
      <c r="O103" s="345"/>
      <c r="P103" s="345"/>
      <c r="Q103" s="346"/>
    </row>
    <row r="104" spans="2:17">
      <c r="B104" s="344"/>
      <c r="C104" s="345"/>
      <c r="D104" s="345"/>
      <c r="E104" s="345"/>
      <c r="F104" s="345"/>
      <c r="G104" s="345"/>
      <c r="H104" s="345"/>
      <c r="I104" s="345"/>
      <c r="J104" s="345"/>
      <c r="K104" s="345"/>
      <c r="L104" s="345"/>
      <c r="M104" s="345"/>
      <c r="N104" s="345"/>
      <c r="O104" s="345"/>
      <c r="P104" s="345"/>
      <c r="Q104" s="346"/>
    </row>
    <row r="105" spans="2:17">
      <c r="B105" s="344"/>
      <c r="C105" s="345"/>
      <c r="D105" s="345"/>
      <c r="E105" s="345"/>
      <c r="F105" s="345"/>
      <c r="G105" s="345"/>
      <c r="H105" s="345"/>
      <c r="I105" s="345"/>
      <c r="J105" s="345"/>
      <c r="K105" s="345"/>
      <c r="L105" s="345"/>
      <c r="M105" s="345"/>
      <c r="N105" s="345"/>
      <c r="O105" s="345"/>
      <c r="P105" s="345"/>
      <c r="Q105" s="346"/>
    </row>
    <row r="106" spans="2:17">
      <c r="B106" s="344"/>
      <c r="C106" s="345"/>
      <c r="D106" s="345"/>
      <c r="E106" s="345"/>
      <c r="F106" s="345"/>
      <c r="G106" s="345"/>
      <c r="H106" s="345"/>
      <c r="I106" s="345"/>
      <c r="J106" s="345"/>
      <c r="K106" s="345"/>
      <c r="L106" s="345"/>
      <c r="M106" s="345"/>
      <c r="N106" s="345"/>
      <c r="O106" s="345"/>
      <c r="P106" s="345"/>
      <c r="Q106" s="346"/>
    </row>
    <row r="107" spans="2:17">
      <c r="B107" s="344"/>
      <c r="C107" s="345"/>
      <c r="D107" s="345"/>
      <c r="E107" s="345"/>
      <c r="F107" s="345"/>
      <c r="G107" s="345"/>
      <c r="H107" s="345"/>
      <c r="I107" s="345"/>
      <c r="J107" s="345"/>
      <c r="K107" s="345"/>
      <c r="L107" s="345"/>
      <c r="M107" s="345"/>
      <c r="N107" s="345"/>
      <c r="O107" s="345"/>
      <c r="P107" s="345"/>
      <c r="Q107" s="346"/>
    </row>
    <row r="108" spans="2:17">
      <c r="B108" s="344"/>
      <c r="C108" s="345"/>
      <c r="D108" s="345"/>
      <c r="E108" s="345"/>
      <c r="F108" s="345"/>
      <c r="G108" s="345"/>
      <c r="H108" s="345"/>
      <c r="I108" s="345"/>
      <c r="J108" s="345"/>
      <c r="K108" s="345"/>
      <c r="L108" s="345"/>
      <c r="M108" s="345"/>
      <c r="N108" s="345"/>
      <c r="O108" s="345"/>
      <c r="P108" s="345"/>
      <c r="Q108" s="346"/>
    </row>
    <row r="109" spans="2:17">
      <c r="B109" s="347"/>
      <c r="C109" s="348"/>
      <c r="D109" s="348"/>
      <c r="E109" s="348"/>
      <c r="F109" s="348"/>
      <c r="G109" s="348"/>
      <c r="H109" s="348"/>
      <c r="I109" s="348"/>
      <c r="J109" s="348"/>
      <c r="K109" s="348"/>
      <c r="L109" s="348"/>
      <c r="M109" s="348"/>
      <c r="N109" s="348"/>
      <c r="O109" s="348"/>
      <c r="P109" s="348"/>
      <c r="Q109" s="349"/>
    </row>
  </sheetData>
  <mergeCells count="13">
    <mergeCell ref="B101:Q109"/>
    <mergeCell ref="F52:K54"/>
    <mergeCell ref="B52:D54"/>
    <mergeCell ref="D62:G62"/>
    <mergeCell ref="I62:K62"/>
    <mergeCell ref="M52:Q54"/>
    <mergeCell ref="D6:G6"/>
    <mergeCell ref="I6:K6"/>
    <mergeCell ref="F35:K37"/>
    <mergeCell ref="B35:D37"/>
    <mergeCell ref="M18:Q20"/>
    <mergeCell ref="B18:K20"/>
    <mergeCell ref="M35:Q37"/>
  </mergeCells>
  <conditionalFormatting sqref="D30">
    <cfRule type="expression" dxfId="42" priority="18">
      <formula>$D$30&lt;0</formula>
    </cfRule>
  </conditionalFormatting>
  <conditionalFormatting sqref="D26">
    <cfRule type="expression" dxfId="41" priority="17">
      <formula>$D$26&lt;0</formula>
    </cfRule>
  </conditionalFormatting>
  <conditionalFormatting sqref="G16">
    <cfRule type="expression" dxfId="40" priority="15">
      <formula>$G$16&lt;0</formula>
    </cfRule>
    <cfRule type="expression" dxfId="39" priority="16">
      <formula>$G$16&gt;0</formula>
    </cfRule>
  </conditionalFormatting>
  <conditionalFormatting sqref="G15">
    <cfRule type="expression" dxfId="38" priority="13">
      <formula>$G$15&lt;0</formula>
    </cfRule>
    <cfRule type="expression" dxfId="37" priority="14">
      <formula>$G$15&gt;0</formula>
    </cfRule>
  </conditionalFormatting>
  <conditionalFormatting sqref="G9">
    <cfRule type="expression" dxfId="36" priority="11">
      <formula>$G$9&lt;0</formula>
    </cfRule>
    <cfRule type="expression" dxfId="35" priority="12">
      <formula>$G$9&gt;0</formula>
    </cfRule>
  </conditionalFormatting>
  <conditionalFormatting sqref="G10">
    <cfRule type="expression" dxfId="34" priority="9">
      <formula>$G$10&lt;0</formula>
    </cfRule>
    <cfRule type="expression" dxfId="33" priority="10">
      <formula>$G$10&gt;0</formula>
    </cfRule>
  </conditionalFormatting>
  <conditionalFormatting sqref="G11">
    <cfRule type="expression" dxfId="32" priority="7">
      <formula>$G$11&lt;0</formula>
    </cfRule>
    <cfRule type="expression" dxfId="31" priority="8">
      <formula>$G$11&gt;0</formula>
    </cfRule>
  </conditionalFormatting>
  <conditionalFormatting sqref="K9">
    <cfRule type="expression" dxfId="30" priority="5">
      <formula>$K$9&lt;0</formula>
    </cfRule>
    <cfRule type="expression" dxfId="29" priority="6">
      <formula>$K$9&gt;0</formula>
    </cfRule>
  </conditionalFormatting>
  <conditionalFormatting sqref="K10">
    <cfRule type="expression" dxfId="28" priority="3">
      <formula>$K$10&gt;0</formula>
    </cfRule>
    <cfRule type="expression" dxfId="27" priority="4">
      <formula>$K$10&lt;0</formula>
    </cfRule>
  </conditionalFormatting>
  <conditionalFormatting sqref="K11">
    <cfRule type="expression" dxfId="26" priority="1">
      <formula>$K$11&lt;0</formula>
    </cfRule>
    <cfRule type="expression" dxfId="25" priority="2">
      <formula>$K$11&gt;0</formula>
    </cfRule>
  </conditionalFormatting>
  <pageMargins left="3.937007874015748E-2" right="3.937007874015748E-2" top="0.15748031496062992" bottom="0.35433070866141736" header="0.31496062992125984" footer="0.31496062992125984"/>
  <pageSetup paperSize="9" scale="8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S330"/>
  <sheetViews>
    <sheetView topLeftCell="A285" zoomScale="85" zoomScaleNormal="85" zoomScaleSheetLayoutView="100" workbookViewId="0">
      <selection activeCell="B302" sqref="B302"/>
    </sheetView>
  </sheetViews>
  <sheetFormatPr defaultRowHeight="12.75"/>
  <cols>
    <col min="1" max="1" width="2.42578125" style="30" customWidth="1"/>
    <col min="2" max="2" width="28.7109375" style="30" customWidth="1"/>
    <col min="3" max="3" width="2.42578125" style="30" customWidth="1"/>
    <col min="4" max="15" width="10.140625" style="30" customWidth="1"/>
    <col min="16" max="16" width="2.42578125" style="30" customWidth="1"/>
    <col min="17" max="17" width="14.85546875" style="30" customWidth="1"/>
    <col min="18" max="18" width="2.42578125" style="30" customWidth="1"/>
    <col min="19" max="19" width="9.7109375" style="104" customWidth="1"/>
    <col min="20" max="16384" width="9.140625" style="30"/>
  </cols>
  <sheetData>
    <row r="1" spans="1:19" s="1" customFormat="1" ht="24.95" customHeight="1">
      <c r="B1" s="3" t="str">
        <f>"Monthly Financial Report : "&amp;Instructions!D13</f>
        <v>Monthly Financial Report : Example Sporting Organisation</v>
      </c>
      <c r="F1" s="4"/>
      <c r="H1" s="4"/>
      <c r="K1" s="4"/>
      <c r="L1" s="4"/>
      <c r="M1" s="4"/>
      <c r="N1" s="4"/>
      <c r="S1" s="83"/>
    </row>
    <row r="2" spans="1:19" s="27" customFormat="1" ht="9" customHeight="1">
      <c r="A2" s="72"/>
      <c r="B2" s="23"/>
      <c r="C2" s="23"/>
      <c r="D2" s="23"/>
      <c r="E2" s="23"/>
      <c r="F2" s="23"/>
      <c r="G2" s="23"/>
      <c r="H2" s="23"/>
      <c r="I2" s="23"/>
      <c r="J2" s="23"/>
      <c r="K2" s="23"/>
      <c r="L2" s="23"/>
      <c r="M2" s="23"/>
      <c r="N2" s="23"/>
      <c r="O2" s="23"/>
      <c r="P2" s="23"/>
      <c r="Q2" s="23"/>
      <c r="R2" s="23"/>
      <c r="S2" s="100"/>
    </row>
    <row r="3" spans="1:19" s="1" customFormat="1" ht="15" customHeight="1">
      <c r="A3" s="83"/>
      <c r="B3" s="84" t="str">
        <f>"Financial Summary for This Month : "&amp;Instructions!D13</f>
        <v>Financial Summary for This Month : Example Sporting Organisation</v>
      </c>
      <c r="G3" s="5"/>
      <c r="H3" s="6"/>
      <c r="I3" s="6"/>
      <c r="J3" s="6"/>
      <c r="K3" s="6"/>
      <c r="L3" s="6"/>
      <c r="M3" s="6"/>
      <c r="N3" s="6"/>
      <c r="O3" s="2"/>
      <c r="P3" s="2"/>
      <c r="Q3" s="2"/>
      <c r="R3" s="2"/>
      <c r="S3" s="97"/>
    </row>
    <row r="4" spans="1:19" s="1" customFormat="1" ht="16.5" customHeight="1">
      <c r="A4" s="83"/>
      <c r="B4" s="83"/>
      <c r="C4" s="13"/>
      <c r="D4" s="5"/>
      <c r="E4" s="5"/>
      <c r="F4" s="5"/>
      <c r="G4" s="5"/>
      <c r="H4" s="5"/>
      <c r="I4" s="5"/>
      <c r="J4" s="5"/>
      <c r="K4" s="90"/>
      <c r="L4" s="90"/>
      <c r="M4" s="90"/>
      <c r="N4" s="90"/>
      <c r="O4" s="5"/>
      <c r="P4" s="5"/>
      <c r="Q4" s="5"/>
      <c r="R4" s="5"/>
      <c r="S4" s="97"/>
    </row>
    <row r="5" spans="1:19" s="45" customFormat="1" ht="16.5" customHeight="1">
      <c r="A5" s="83"/>
      <c r="B5" s="85" t="s">
        <v>12</v>
      </c>
      <c r="C5" s="46"/>
      <c r="D5" s="47"/>
      <c r="F5" s="126">
        <f>Instructions!D15</f>
        <v>41882</v>
      </c>
      <c r="G5" s="127">
        <f>Instructions!D15</f>
        <v>41882</v>
      </c>
      <c r="H5" s="126">
        <f>Instructions!D15</f>
        <v>41882</v>
      </c>
      <c r="I5" s="127">
        <f>G5</f>
        <v>41882</v>
      </c>
      <c r="J5" s="51"/>
      <c r="K5" s="130" t="s">
        <v>9</v>
      </c>
      <c r="L5" s="131" t="s">
        <v>9</v>
      </c>
      <c r="M5" s="130" t="str">
        <f>K5</f>
        <v>YTD</v>
      </c>
      <c r="N5" s="131" t="str">
        <f>L5</f>
        <v>YTD</v>
      </c>
      <c r="Q5" s="149" t="s">
        <v>49</v>
      </c>
      <c r="R5" s="47"/>
      <c r="S5" s="101"/>
    </row>
    <row r="6" spans="1:19" s="45" customFormat="1" ht="16.5" customHeight="1">
      <c r="A6" s="83"/>
      <c r="B6" s="86"/>
      <c r="C6" s="46"/>
      <c r="D6" s="47"/>
      <c r="F6" s="128" t="s">
        <v>7</v>
      </c>
      <c r="G6" s="129" t="s">
        <v>8</v>
      </c>
      <c r="H6" s="128" t="s">
        <v>10</v>
      </c>
      <c r="I6" s="129" t="s">
        <v>11</v>
      </c>
      <c r="J6" s="51"/>
      <c r="K6" s="128" t="s">
        <v>7</v>
      </c>
      <c r="L6" s="129" t="s">
        <v>8</v>
      </c>
      <c r="M6" s="128" t="s">
        <v>10</v>
      </c>
      <c r="N6" s="129" t="s">
        <v>11</v>
      </c>
      <c r="Q6" s="274" t="s">
        <v>50</v>
      </c>
      <c r="R6" s="47"/>
      <c r="S6" s="101"/>
    </row>
    <row r="7" spans="1:19" s="45" customFormat="1" ht="16.5" customHeight="1">
      <c r="A7" s="83"/>
      <c r="B7" s="231" t="s">
        <v>102</v>
      </c>
      <c r="C7" s="46"/>
      <c r="D7" s="47"/>
      <c r="F7" s="185"/>
      <c r="G7" s="186"/>
      <c r="H7" s="182"/>
      <c r="I7" s="113"/>
      <c r="J7" s="51"/>
      <c r="K7" s="55"/>
      <c r="L7" s="56"/>
      <c r="M7" s="112"/>
      <c r="N7" s="113"/>
      <c r="Q7" s="121"/>
      <c r="R7" s="47"/>
      <c r="S7" s="101"/>
    </row>
    <row r="8" spans="1:19" s="27" customFormat="1" ht="16.5" customHeight="1">
      <c r="A8" s="83"/>
      <c r="B8" s="87" t="str">
        <f>'Financial Data Input'!A8</f>
        <v>Membership Fees</v>
      </c>
      <c r="C8" s="29"/>
      <c r="D8" s="47"/>
      <c r="F8" s="57">
        <f>HLOOKUP(EOMONTH(Instructions!$D$15,0),'Financial Data Input'!$C$4:$O$97,'Financial Data Input'!C8,FALSE)</f>
        <v>100</v>
      </c>
      <c r="G8" s="58">
        <f>HLOOKUP(EOMONTH($G$5,0),'Financial Data Input'!$A$127:$O$173,'Financial Data Input'!C130,FALSE)</f>
        <v>100</v>
      </c>
      <c r="H8" s="183">
        <f>F8-G8</f>
        <v>0</v>
      </c>
      <c r="I8" s="48">
        <f t="shared" ref="I8:I14" si="0">IF(G8&gt;0,H8/G8,0%)</f>
        <v>0</v>
      </c>
      <c r="J8" s="50" t="str">
        <f>IF(I8="","",IF(I8&lt;0,"û","ü"))</f>
        <v>ü</v>
      </c>
      <c r="K8" s="57">
        <f>SUMIF('Financial Data Input'!$D$3:$O$3,"include",'Financial Data Input'!D8:O8)</f>
        <v>215</v>
      </c>
      <c r="L8" s="58">
        <f>SUMIF('Financial Data Input'!$D$3:$O$3,"include",'Financial Data Input'!D130:O130)</f>
        <v>200</v>
      </c>
      <c r="M8" s="59">
        <f>K8-L8</f>
        <v>15</v>
      </c>
      <c r="N8" s="48">
        <f t="shared" ref="N8:N14" si="1">IF(L8&gt;0,M8/L8,0%)</f>
        <v>7.4999999999999997E-2</v>
      </c>
      <c r="O8" s="50" t="str">
        <f>IF(N8="","",IF(N8&lt;0,"û","ü"))</f>
        <v>ü</v>
      </c>
      <c r="P8" s="45"/>
      <c r="Q8" s="122">
        <f>'Financial Data Input'!Q130+M8</f>
        <v>1215</v>
      </c>
      <c r="R8" s="5"/>
      <c r="S8" s="99"/>
    </row>
    <row r="9" spans="1:19" s="27" customFormat="1" ht="16.5" customHeight="1">
      <c r="A9" s="83"/>
      <c r="B9" s="87" t="str">
        <f>'Financial Data Input'!A9</f>
        <v>Sponsorship Income (Secured)</v>
      </c>
      <c r="C9" s="29"/>
      <c r="D9" s="47"/>
      <c r="F9" s="57">
        <f>HLOOKUP(EOMONTH(Instructions!$D$15,0),'Financial Data Input'!$C$4:$O$97,'Financial Data Input'!C9,FALSE)</f>
        <v>80</v>
      </c>
      <c r="G9" s="58">
        <f>HLOOKUP(EOMONTH($G$5,0),'Financial Data Input'!$A$127:$O$173,'Financial Data Input'!C131,FALSE)</f>
        <v>100</v>
      </c>
      <c r="H9" s="183">
        <f t="shared" ref="H9:H13" si="2">F9-G9</f>
        <v>-20</v>
      </c>
      <c r="I9" s="48">
        <f t="shared" si="0"/>
        <v>-0.2</v>
      </c>
      <c r="J9" s="50" t="str">
        <f t="shared" ref="J9:J13" si="3">IF(I9="","",IF(I9&lt;0,"û","ü"))</f>
        <v>û</v>
      </c>
      <c r="K9" s="57">
        <f>SUMIF('Financial Data Input'!$D$3:$O$3,"include",'Financial Data Input'!D9:O9)</f>
        <v>130</v>
      </c>
      <c r="L9" s="58">
        <f>SUMIF('Financial Data Input'!$D$3:$O$3,"include",'Financial Data Input'!D131:O131)</f>
        <v>200</v>
      </c>
      <c r="M9" s="59">
        <f t="shared" ref="M9:M13" si="4">K9-L9</f>
        <v>-70</v>
      </c>
      <c r="N9" s="48">
        <f t="shared" si="1"/>
        <v>-0.35</v>
      </c>
      <c r="O9" s="50" t="str">
        <f t="shared" ref="O9:O13" si="5">IF(N9="","",IF(N9&lt;0,"û","ü"))</f>
        <v>û</v>
      </c>
      <c r="P9" s="45"/>
      <c r="Q9" s="122">
        <f>'Financial Data Input'!Q131+M9</f>
        <v>1130</v>
      </c>
      <c r="R9" s="5"/>
      <c r="S9" s="99"/>
    </row>
    <row r="10" spans="1:19" s="27" customFormat="1" ht="16.5" customHeight="1">
      <c r="A10" s="83"/>
      <c r="B10" s="87" t="str">
        <f>'Financial Data Input'!A10</f>
        <v>Sponsorship Income (Unsecured)</v>
      </c>
      <c r="C10" s="29"/>
      <c r="D10" s="47"/>
      <c r="F10" s="57">
        <f>HLOOKUP(EOMONTH(Instructions!$D$15,0),'Financial Data Input'!$C$4:$O$97,'Financial Data Input'!C10,FALSE)</f>
        <v>75</v>
      </c>
      <c r="G10" s="58">
        <f>HLOOKUP(EOMONTH($G$5,0),'Financial Data Input'!$A$127:$O$173,'Financial Data Input'!C132,FALSE)</f>
        <v>100</v>
      </c>
      <c r="H10" s="183">
        <f t="shared" si="2"/>
        <v>-25</v>
      </c>
      <c r="I10" s="48">
        <f t="shared" si="0"/>
        <v>-0.25</v>
      </c>
      <c r="J10" s="50" t="str">
        <f t="shared" si="3"/>
        <v>û</v>
      </c>
      <c r="K10" s="57">
        <f>SUMIF('Financial Data Input'!$D$3:$O$3,"include",'Financial Data Input'!D10:O10)</f>
        <v>225</v>
      </c>
      <c r="L10" s="58">
        <f>SUMIF('Financial Data Input'!$D$3:$O$3,"include",'Financial Data Input'!D132:O132)</f>
        <v>200</v>
      </c>
      <c r="M10" s="59">
        <f t="shared" si="4"/>
        <v>25</v>
      </c>
      <c r="N10" s="48">
        <f t="shared" si="1"/>
        <v>0.125</v>
      </c>
      <c r="O10" s="50" t="str">
        <f t="shared" si="5"/>
        <v>ü</v>
      </c>
      <c r="P10" s="45"/>
      <c r="Q10" s="122">
        <f>'Financial Data Input'!Q132+M10</f>
        <v>1225</v>
      </c>
      <c r="R10" s="5"/>
      <c r="S10" s="99"/>
    </row>
    <row r="11" spans="1:19" s="27" customFormat="1" ht="16.5" customHeight="1">
      <c r="A11" s="83"/>
      <c r="B11" s="87" t="str">
        <f>'Financial Data Input'!A11</f>
        <v>Grants (Secured)</v>
      </c>
      <c r="C11" s="29"/>
      <c r="D11" s="47"/>
      <c r="F11" s="57">
        <f>HLOOKUP(EOMONTH(Instructions!$D$15,0),'Financial Data Input'!$C$4:$O$97,'Financial Data Input'!C11,FALSE)</f>
        <v>800</v>
      </c>
      <c r="G11" s="58">
        <f>HLOOKUP(EOMONTH($G$5,0),'Financial Data Input'!$A$127:$O$173,'Financial Data Input'!C133,FALSE)</f>
        <v>950</v>
      </c>
      <c r="H11" s="183">
        <f t="shared" si="2"/>
        <v>-150</v>
      </c>
      <c r="I11" s="48">
        <f t="shared" si="0"/>
        <v>-0.15789473684210525</v>
      </c>
      <c r="J11" s="50" t="str">
        <f t="shared" si="3"/>
        <v>û</v>
      </c>
      <c r="K11" s="57">
        <f>SUMIF('Financial Data Input'!$D$3:$O$3,"include",'Financial Data Input'!D11:O11)</f>
        <v>1300</v>
      </c>
      <c r="L11" s="58">
        <f>SUMIF('Financial Data Input'!$D$3:$O$3,"include",'Financial Data Input'!D133:O133)</f>
        <v>1777</v>
      </c>
      <c r="M11" s="59">
        <f t="shared" si="4"/>
        <v>-477</v>
      </c>
      <c r="N11" s="48">
        <f t="shared" si="1"/>
        <v>-0.26842993809791782</v>
      </c>
      <c r="O11" s="50" t="str">
        <f t="shared" si="5"/>
        <v>û</v>
      </c>
      <c r="P11" s="45"/>
      <c r="Q11" s="122">
        <f>'Financial Data Input'!Q133+M11</f>
        <v>9526</v>
      </c>
      <c r="R11" s="5"/>
      <c r="S11" s="99"/>
    </row>
    <row r="12" spans="1:19" s="27" customFormat="1" ht="16.5" customHeight="1">
      <c r="A12" s="83"/>
      <c r="B12" s="87" t="str">
        <f>'Financial Data Input'!A12</f>
        <v>Grants (Unsecured)</v>
      </c>
      <c r="C12" s="29"/>
      <c r="D12" s="47"/>
      <c r="F12" s="57">
        <f>HLOOKUP(EOMONTH(Instructions!$D$15,0),'Financial Data Input'!$C$4:$O$97,'Financial Data Input'!C12,FALSE)</f>
        <v>75</v>
      </c>
      <c r="G12" s="58">
        <f>HLOOKUP(EOMONTH($G$5,0),'Financial Data Input'!$A$127:$O$173,'Financial Data Input'!C134,FALSE)</f>
        <v>100</v>
      </c>
      <c r="H12" s="183">
        <f t="shared" si="2"/>
        <v>-25</v>
      </c>
      <c r="I12" s="48">
        <f t="shared" si="0"/>
        <v>-0.25</v>
      </c>
      <c r="J12" s="50" t="str">
        <f t="shared" si="3"/>
        <v>û</v>
      </c>
      <c r="K12" s="57">
        <f>SUMIF('Financial Data Input'!$D$3:$O$3,"include",'Financial Data Input'!D12:O12)</f>
        <v>225</v>
      </c>
      <c r="L12" s="58">
        <f>SUMIF('Financial Data Input'!$D$3:$O$3,"include",'Financial Data Input'!D134:O134)</f>
        <v>200</v>
      </c>
      <c r="M12" s="59">
        <f t="shared" si="4"/>
        <v>25</v>
      </c>
      <c r="N12" s="48">
        <f t="shared" si="1"/>
        <v>0.125</v>
      </c>
      <c r="O12" s="50" t="str">
        <f t="shared" si="5"/>
        <v>ü</v>
      </c>
      <c r="P12" s="45"/>
      <c r="Q12" s="122">
        <f>'Financial Data Input'!Q134+M12</f>
        <v>1225</v>
      </c>
      <c r="R12" s="5"/>
      <c r="S12" s="99"/>
    </row>
    <row r="13" spans="1:19" s="27" customFormat="1" ht="16.5" customHeight="1">
      <c r="A13" s="83"/>
      <c r="B13" s="87" t="str">
        <f>'Financial Data Input'!A13</f>
        <v>Event Income</v>
      </c>
      <c r="C13" s="29"/>
      <c r="D13" s="47"/>
      <c r="F13" s="57">
        <f>HLOOKUP(EOMONTH(Instructions!$D$15,0),'Financial Data Input'!$C$4:$O$97,'Financial Data Input'!C13,FALSE)</f>
        <v>80</v>
      </c>
      <c r="G13" s="58">
        <f>HLOOKUP(EOMONTH($G$5,0),'Financial Data Input'!$A$127:$O$173,'Financial Data Input'!C135,FALSE)</f>
        <v>100</v>
      </c>
      <c r="H13" s="183">
        <f t="shared" si="2"/>
        <v>-20</v>
      </c>
      <c r="I13" s="48">
        <f t="shared" si="0"/>
        <v>-0.2</v>
      </c>
      <c r="J13" s="50" t="str">
        <f t="shared" si="3"/>
        <v>û</v>
      </c>
      <c r="K13" s="57">
        <f>SUMIF('Financial Data Input'!$D$3:$O$3,"include",'Financial Data Input'!D13:O13)</f>
        <v>130</v>
      </c>
      <c r="L13" s="58">
        <f>SUMIF('Financial Data Input'!$D$3:$O$3,"include",'Financial Data Input'!D135:O135)</f>
        <v>200</v>
      </c>
      <c r="M13" s="59">
        <f t="shared" si="4"/>
        <v>-70</v>
      </c>
      <c r="N13" s="48">
        <f t="shared" si="1"/>
        <v>-0.35</v>
      </c>
      <c r="O13" s="50" t="str">
        <f t="shared" si="5"/>
        <v>û</v>
      </c>
      <c r="P13" s="45"/>
      <c r="Q13" s="122">
        <f>'Financial Data Input'!Q135+M13</f>
        <v>1130</v>
      </c>
      <c r="R13" s="5"/>
      <c r="S13" s="99"/>
    </row>
    <row r="14" spans="1:19" s="27" customFormat="1" ht="16.5" customHeight="1">
      <c r="A14" s="83"/>
      <c r="B14" s="87" t="str">
        <f>'Financial Data Input'!A14</f>
        <v>Other Income</v>
      </c>
      <c r="C14" s="29"/>
      <c r="D14" s="47"/>
      <c r="F14" s="57">
        <f>HLOOKUP(EOMONTH(Instructions!$D$15,0),'Financial Data Input'!$C$4:$O$97,'Financial Data Input'!C14,FALSE)</f>
        <v>75</v>
      </c>
      <c r="G14" s="58">
        <f>HLOOKUP(EOMONTH($G$5,0),'Financial Data Input'!$A$127:$O$173,'Financial Data Input'!C136,FALSE)</f>
        <v>100</v>
      </c>
      <c r="H14" s="183">
        <f t="shared" ref="H14:H21" si="6">F14-G14</f>
        <v>-25</v>
      </c>
      <c r="I14" s="48">
        <f t="shared" si="0"/>
        <v>-0.25</v>
      </c>
      <c r="J14" s="50" t="str">
        <f t="shared" ref="J14" si="7">IF(I14="","",IF(I14&lt;0,"û","ü"))</f>
        <v>û</v>
      </c>
      <c r="K14" s="57">
        <f>SUMIF('Financial Data Input'!$D$3:$O$3,"include",'Financial Data Input'!D14:O14)</f>
        <v>225</v>
      </c>
      <c r="L14" s="58">
        <f>SUMIF('Financial Data Input'!$D$3:$O$3,"include",'Financial Data Input'!D136:O136)</f>
        <v>200</v>
      </c>
      <c r="M14" s="59">
        <f t="shared" ref="M14:M21" si="8">K14-L14</f>
        <v>25</v>
      </c>
      <c r="N14" s="48">
        <f t="shared" si="1"/>
        <v>0.125</v>
      </c>
      <c r="O14" s="50" t="str">
        <f t="shared" ref="O14:O21" si="9">IF(N14="","",IF(N14&lt;0,"û","ü"))</f>
        <v>ü</v>
      </c>
      <c r="P14" s="45"/>
      <c r="Q14" s="122">
        <f>'Financial Data Input'!Q136+M14</f>
        <v>1225</v>
      </c>
      <c r="R14" s="5"/>
      <c r="S14" s="99"/>
    </row>
    <row r="15" spans="1:19" s="27" customFormat="1" ht="16.5" customHeight="1">
      <c r="A15" s="83"/>
      <c r="B15" s="87" t="str">
        <f>'Financial Data Input'!A15</f>
        <v>Other Income</v>
      </c>
      <c r="C15" s="29"/>
      <c r="D15" s="47"/>
      <c r="F15" s="57">
        <f>HLOOKUP(EOMONTH(Instructions!$D$15,0),'Financial Data Input'!$C$4:$O$97,'Financial Data Input'!C15,FALSE)</f>
        <v>10</v>
      </c>
      <c r="G15" s="58">
        <f>HLOOKUP(EOMONTH($G$5,0),'Financial Data Input'!$A$127:$O$173,'Financial Data Input'!C137,FALSE)</f>
        <v>100</v>
      </c>
      <c r="H15" s="183">
        <f t="shared" si="6"/>
        <v>-90</v>
      </c>
      <c r="I15" s="48">
        <f>IF(G15&gt;0,H15/G15,0%)</f>
        <v>-0.9</v>
      </c>
      <c r="J15" s="50" t="str">
        <f t="shared" ref="J15" si="10">IF(I15="","",IF(I15&lt;0,"û","ü"))</f>
        <v>û</v>
      </c>
      <c r="K15" s="57">
        <f>SUMIF('Financial Data Input'!$D$3:$O$3,"include",'Financial Data Input'!D15:O15)</f>
        <v>20</v>
      </c>
      <c r="L15" s="58">
        <f>SUMIF('Financial Data Input'!$D$3:$O$3,"include",'Financial Data Input'!D137:O137)</f>
        <v>200</v>
      </c>
      <c r="M15" s="59">
        <f t="shared" si="8"/>
        <v>-180</v>
      </c>
      <c r="N15" s="48">
        <f>IF(L15&gt;0,M15/L15,0%)</f>
        <v>-0.9</v>
      </c>
      <c r="O15" s="50" t="str">
        <f t="shared" si="9"/>
        <v>û</v>
      </c>
      <c r="P15" s="45"/>
      <c r="Q15" s="122">
        <f>'Financial Data Input'!Q137+M15</f>
        <v>1020</v>
      </c>
      <c r="R15" s="5"/>
      <c r="S15" s="99"/>
    </row>
    <row r="16" spans="1:19" s="27" customFormat="1" ht="16.5" customHeight="1">
      <c r="A16" s="83"/>
      <c r="B16" s="87" t="str">
        <f>'Financial Data Input'!A16</f>
        <v>Other Income</v>
      </c>
      <c r="C16" s="29"/>
      <c r="D16" s="47"/>
      <c r="F16" s="57">
        <f>HLOOKUP(EOMONTH(Instructions!$D$15,0),'Financial Data Input'!$C$4:$O$97,'Financial Data Input'!C16,FALSE)</f>
        <v>0</v>
      </c>
      <c r="G16" s="58">
        <f>HLOOKUP(EOMONTH($G$5,0),'Financial Data Input'!$A$127:$O$173,'Financial Data Input'!C138,FALSE)</f>
        <v>0</v>
      </c>
      <c r="H16" s="183">
        <f t="shared" si="6"/>
        <v>0</v>
      </c>
      <c r="I16" s="48">
        <f t="shared" ref="I16:I21" si="11">IF(G16&gt;0,H16/G16,0%)</f>
        <v>0</v>
      </c>
      <c r="J16" s="50" t="str">
        <f t="shared" ref="J16:J21" si="12">IF(I16="","",IF(I16&lt;0,"û","ü"))</f>
        <v>ü</v>
      </c>
      <c r="K16" s="57">
        <f>SUMIF('Financial Data Input'!$D$3:$O$3,"include",'Financial Data Input'!D16:O16)</f>
        <v>0</v>
      </c>
      <c r="L16" s="58">
        <f>SUMIF('Financial Data Input'!$D$3:$O$3,"include",'Financial Data Input'!D138:O138)</f>
        <v>0</v>
      </c>
      <c r="M16" s="59">
        <f t="shared" si="8"/>
        <v>0</v>
      </c>
      <c r="N16" s="48">
        <f>IF(L16&gt;0,M16/L16,0%)</f>
        <v>0</v>
      </c>
      <c r="O16" s="50" t="str">
        <f t="shared" si="9"/>
        <v>ü</v>
      </c>
      <c r="P16" s="45"/>
      <c r="Q16" s="122">
        <f>'Financial Data Input'!Q138+M16</f>
        <v>0</v>
      </c>
      <c r="R16" s="5"/>
      <c r="S16" s="99"/>
    </row>
    <row r="17" spans="1:19" s="27" customFormat="1" ht="16.5" customHeight="1">
      <c r="A17" s="83"/>
      <c r="B17" s="87" t="str">
        <f>'Financial Data Input'!A17</f>
        <v>Other Income</v>
      </c>
      <c r="C17" s="29"/>
      <c r="D17" s="47"/>
      <c r="F17" s="57">
        <f>HLOOKUP(EOMONTH(Instructions!$D$15,0),'Financial Data Input'!$C$4:$O$97,'Financial Data Input'!C17,FALSE)</f>
        <v>0</v>
      </c>
      <c r="G17" s="58">
        <f>HLOOKUP(EOMONTH($G$5,0),'Financial Data Input'!$A$127:$O$173,'Financial Data Input'!C139,FALSE)</f>
        <v>0</v>
      </c>
      <c r="H17" s="183">
        <f t="shared" si="6"/>
        <v>0</v>
      </c>
      <c r="I17" s="48">
        <f t="shared" si="11"/>
        <v>0</v>
      </c>
      <c r="J17" s="50" t="str">
        <f t="shared" si="12"/>
        <v>ü</v>
      </c>
      <c r="K17" s="57">
        <f>SUMIF('Financial Data Input'!$D$3:$O$3,"include",'Financial Data Input'!D17:O17)</f>
        <v>0</v>
      </c>
      <c r="L17" s="58">
        <f>SUMIF('Financial Data Input'!$D$3:$O$3,"include",'Financial Data Input'!D139:O139)</f>
        <v>0</v>
      </c>
      <c r="M17" s="59">
        <f t="shared" si="8"/>
        <v>0</v>
      </c>
      <c r="N17" s="48">
        <f t="shared" ref="N17:N21" si="13">IF(L17&gt;0,M17/L17,0%)</f>
        <v>0</v>
      </c>
      <c r="O17" s="50" t="str">
        <f t="shared" si="9"/>
        <v>ü</v>
      </c>
      <c r="P17" s="45"/>
      <c r="Q17" s="122">
        <f>'Financial Data Input'!Q139+M17</f>
        <v>0</v>
      </c>
      <c r="R17" s="5"/>
      <c r="S17" s="99"/>
    </row>
    <row r="18" spans="1:19" s="27" customFormat="1" ht="16.5" customHeight="1">
      <c r="A18" s="83"/>
      <c r="B18" s="87" t="str">
        <f>'Financial Data Input'!A18</f>
        <v>Other Income</v>
      </c>
      <c r="C18" s="29"/>
      <c r="D18" s="47"/>
      <c r="F18" s="57">
        <f>HLOOKUP(EOMONTH(Instructions!$D$15,0),'Financial Data Input'!$C$4:$O$97,'Financial Data Input'!C18,FALSE)</f>
        <v>0</v>
      </c>
      <c r="G18" s="58">
        <f>HLOOKUP(EOMONTH($G$5,0),'Financial Data Input'!$A$127:$O$173,'Financial Data Input'!C140,FALSE)</f>
        <v>0</v>
      </c>
      <c r="H18" s="183">
        <f t="shared" si="6"/>
        <v>0</v>
      </c>
      <c r="I18" s="48">
        <f t="shared" si="11"/>
        <v>0</v>
      </c>
      <c r="J18" s="50" t="str">
        <f t="shared" si="12"/>
        <v>ü</v>
      </c>
      <c r="K18" s="57">
        <f>SUMIF('Financial Data Input'!$D$3:$O$3,"include",'Financial Data Input'!D18:O18)</f>
        <v>0</v>
      </c>
      <c r="L18" s="58">
        <f>SUMIF('Financial Data Input'!$D$3:$O$3,"include",'Financial Data Input'!D140:O140)</f>
        <v>0</v>
      </c>
      <c r="M18" s="59">
        <f t="shared" si="8"/>
        <v>0</v>
      </c>
      <c r="N18" s="48">
        <f t="shared" si="13"/>
        <v>0</v>
      </c>
      <c r="O18" s="50" t="str">
        <f t="shared" si="9"/>
        <v>ü</v>
      </c>
      <c r="P18" s="45"/>
      <c r="Q18" s="122">
        <f>'Financial Data Input'!Q140+M18</f>
        <v>0</v>
      </c>
      <c r="R18" s="5"/>
      <c r="S18" s="99"/>
    </row>
    <row r="19" spans="1:19" s="27" customFormat="1" ht="16.5" customHeight="1">
      <c r="A19" s="83"/>
      <c r="B19" s="87" t="str">
        <f>'Financial Data Input'!A19</f>
        <v>Other Income</v>
      </c>
      <c r="C19" s="29"/>
      <c r="D19" s="47"/>
      <c r="F19" s="57">
        <f>HLOOKUP(EOMONTH(Instructions!$D$15,0),'Financial Data Input'!$C$4:$O$97,'Financial Data Input'!C19,FALSE)</f>
        <v>0</v>
      </c>
      <c r="G19" s="58">
        <f>HLOOKUP(EOMONTH($G$5,0),'Financial Data Input'!$A$127:$O$173,'Financial Data Input'!C141,FALSE)</f>
        <v>0</v>
      </c>
      <c r="H19" s="183">
        <f t="shared" si="6"/>
        <v>0</v>
      </c>
      <c r="I19" s="48">
        <f t="shared" si="11"/>
        <v>0</v>
      </c>
      <c r="J19" s="50" t="str">
        <f t="shared" si="12"/>
        <v>ü</v>
      </c>
      <c r="K19" s="57">
        <f>SUMIF('Financial Data Input'!$D$3:$O$3,"include",'Financial Data Input'!D19:O19)</f>
        <v>0</v>
      </c>
      <c r="L19" s="58">
        <f>SUMIF('Financial Data Input'!$D$3:$O$3,"include",'Financial Data Input'!D141:O141)</f>
        <v>0</v>
      </c>
      <c r="M19" s="59">
        <f t="shared" si="8"/>
        <v>0</v>
      </c>
      <c r="N19" s="48">
        <f t="shared" si="13"/>
        <v>0</v>
      </c>
      <c r="O19" s="50" t="str">
        <f t="shared" si="9"/>
        <v>ü</v>
      </c>
      <c r="P19" s="45"/>
      <c r="Q19" s="122">
        <f>'Financial Data Input'!Q141+M19</f>
        <v>0</v>
      </c>
      <c r="R19" s="5"/>
      <c r="S19" s="99"/>
    </row>
    <row r="20" spans="1:19" s="27" customFormat="1" ht="16.5" customHeight="1">
      <c r="A20" s="83"/>
      <c r="B20" s="87" t="str">
        <f>'Financial Data Input'!A20</f>
        <v>Other Income</v>
      </c>
      <c r="C20" s="29"/>
      <c r="D20" s="47"/>
      <c r="F20" s="57">
        <f>HLOOKUP(EOMONTH(Instructions!$D$15,0),'Financial Data Input'!$C$4:$O$97,'Financial Data Input'!C20,FALSE)</f>
        <v>0</v>
      </c>
      <c r="G20" s="58">
        <f>HLOOKUP(EOMONTH($G$5,0),'Financial Data Input'!$A$127:$O$173,'Financial Data Input'!C142,FALSE)</f>
        <v>0</v>
      </c>
      <c r="H20" s="183">
        <f t="shared" si="6"/>
        <v>0</v>
      </c>
      <c r="I20" s="48">
        <f t="shared" si="11"/>
        <v>0</v>
      </c>
      <c r="J20" s="50" t="str">
        <f t="shared" si="12"/>
        <v>ü</v>
      </c>
      <c r="K20" s="57">
        <f>SUMIF('Financial Data Input'!$D$3:$O$3,"include",'Financial Data Input'!D20:O20)</f>
        <v>0</v>
      </c>
      <c r="L20" s="58">
        <f>SUMIF('Financial Data Input'!$D$3:$O$3,"include",'Financial Data Input'!D142:O142)</f>
        <v>0</v>
      </c>
      <c r="M20" s="59">
        <f t="shared" si="8"/>
        <v>0</v>
      </c>
      <c r="N20" s="48">
        <f t="shared" si="13"/>
        <v>0</v>
      </c>
      <c r="O20" s="50" t="str">
        <f t="shared" si="9"/>
        <v>ü</v>
      </c>
      <c r="P20" s="45"/>
      <c r="Q20" s="122">
        <f>'Financial Data Input'!Q142+M20</f>
        <v>0</v>
      </c>
      <c r="R20" s="5"/>
      <c r="S20" s="99"/>
    </row>
    <row r="21" spans="1:19" s="27" customFormat="1" ht="16.5" customHeight="1">
      <c r="A21" s="83"/>
      <c r="B21" s="87" t="str">
        <f>'Financial Data Input'!A21</f>
        <v>Other Income</v>
      </c>
      <c r="C21" s="29"/>
      <c r="D21" s="47"/>
      <c r="F21" s="57">
        <f>HLOOKUP(EOMONTH(Instructions!$D$15,0),'Financial Data Input'!$C$4:$O$97,'Financial Data Input'!C21,FALSE)</f>
        <v>0</v>
      </c>
      <c r="G21" s="58">
        <f>HLOOKUP(EOMONTH($G$5,0),'Financial Data Input'!$A$127:$O$173,'Financial Data Input'!C143,FALSE)</f>
        <v>0</v>
      </c>
      <c r="H21" s="183">
        <f t="shared" si="6"/>
        <v>0</v>
      </c>
      <c r="I21" s="48">
        <f t="shared" si="11"/>
        <v>0</v>
      </c>
      <c r="J21" s="50" t="str">
        <f t="shared" si="12"/>
        <v>ü</v>
      </c>
      <c r="K21" s="57">
        <f>SUMIF('Financial Data Input'!$D$3:$O$3,"include",'Financial Data Input'!D21:O21)</f>
        <v>0</v>
      </c>
      <c r="L21" s="58">
        <f>SUMIF('Financial Data Input'!$D$3:$O$3,"include",'Financial Data Input'!D143:O143)</f>
        <v>0</v>
      </c>
      <c r="M21" s="59">
        <f t="shared" si="8"/>
        <v>0</v>
      </c>
      <c r="N21" s="48">
        <f t="shared" si="13"/>
        <v>0</v>
      </c>
      <c r="O21" s="50" t="str">
        <f t="shared" si="9"/>
        <v>ü</v>
      </c>
      <c r="P21" s="45"/>
      <c r="Q21" s="122">
        <f>'Financial Data Input'!Q143+M21</f>
        <v>0</v>
      </c>
      <c r="R21" s="5"/>
      <c r="S21" s="99"/>
    </row>
    <row r="22" spans="1:19" s="27" customFormat="1" ht="16.5" customHeight="1">
      <c r="A22" s="83"/>
      <c r="B22" s="87"/>
      <c r="C22" s="29"/>
      <c r="D22" s="47"/>
      <c r="F22" s="57"/>
      <c r="G22" s="58"/>
      <c r="H22" s="184"/>
      <c r="I22" s="115"/>
      <c r="J22" s="50"/>
      <c r="K22" s="57"/>
      <c r="L22" s="58"/>
      <c r="M22" s="114"/>
      <c r="N22" s="115"/>
      <c r="O22" s="50"/>
      <c r="P22" s="45"/>
      <c r="Q22" s="122"/>
      <c r="R22" s="5"/>
      <c r="S22" s="99"/>
    </row>
    <row r="23" spans="1:19" s="43" customFormat="1" ht="16.5" customHeight="1">
      <c r="A23" s="83"/>
      <c r="B23" s="88" t="s">
        <v>72</v>
      </c>
      <c r="C23" s="44"/>
      <c r="D23" s="52"/>
      <c r="F23" s="260">
        <f>SUM(F8:F21)</f>
        <v>1295</v>
      </c>
      <c r="G23" s="261">
        <f>SUM(G8:G21)</f>
        <v>1650</v>
      </c>
      <c r="H23" s="262">
        <f>F23-G23</f>
        <v>-355</v>
      </c>
      <c r="I23" s="263">
        <f>IF(G23&gt;0,H23/G23,"")</f>
        <v>-0.21515151515151515</v>
      </c>
      <c r="J23" s="50" t="str">
        <f>IF(I23="","",IF(I23&lt;0,"û","ü"))</f>
        <v>û</v>
      </c>
      <c r="K23" s="260">
        <f>SUM(K8:K21)</f>
        <v>2470</v>
      </c>
      <c r="L23" s="261">
        <f>SUM(L8:L22)</f>
        <v>3177</v>
      </c>
      <c r="M23" s="264">
        <f>K23-L23</f>
        <v>-707</v>
      </c>
      <c r="N23" s="263">
        <f>IF(L23&gt;0,M23/L23,"")</f>
        <v>-0.22253698457664464</v>
      </c>
      <c r="O23" s="50" t="str">
        <f>IF(N23="","",IF(N23&lt;0,"û","ü"))</f>
        <v>û</v>
      </c>
      <c r="P23" s="53"/>
      <c r="Q23" s="265">
        <f>SUM(Q8:Q22)</f>
        <v>17696</v>
      </c>
      <c r="R23" s="9"/>
      <c r="S23" s="102"/>
    </row>
    <row r="24" spans="1:19" s="27" customFormat="1" ht="16.5" customHeight="1">
      <c r="A24" s="83"/>
      <c r="B24" s="89"/>
      <c r="C24" s="29"/>
      <c r="D24" s="47"/>
      <c r="F24" s="134"/>
      <c r="G24" s="134"/>
      <c r="H24" s="192"/>
      <c r="I24" s="273"/>
      <c r="J24" s="193"/>
      <c r="K24" s="192"/>
      <c r="L24" s="192"/>
      <c r="M24" s="192"/>
      <c r="N24" s="273"/>
      <c r="O24" s="193"/>
      <c r="P24" s="194"/>
      <c r="Q24" s="192"/>
      <c r="R24" s="135"/>
      <c r="S24" s="99"/>
    </row>
    <row r="25" spans="1:19" s="27" customFormat="1" ht="16.5" customHeight="1">
      <c r="A25" s="83"/>
      <c r="B25" s="89"/>
      <c r="C25" s="29"/>
      <c r="D25" s="47"/>
      <c r="F25" s="134"/>
      <c r="G25" s="134"/>
      <c r="H25" s="192"/>
      <c r="I25" s="273"/>
      <c r="J25" s="193"/>
      <c r="K25" s="192"/>
      <c r="L25" s="192"/>
      <c r="M25" s="192"/>
      <c r="N25" s="273"/>
      <c r="O25" s="193"/>
      <c r="P25" s="194"/>
      <c r="Q25" s="192"/>
      <c r="R25" s="135"/>
      <c r="S25" s="99"/>
    </row>
    <row r="26" spans="1:19" s="27" customFormat="1" ht="16.5" customHeight="1">
      <c r="A26" s="83"/>
      <c r="B26" s="88" t="s">
        <v>101</v>
      </c>
      <c r="C26" s="29"/>
      <c r="D26" s="47"/>
      <c r="F26" s="134"/>
      <c r="G26" s="134"/>
      <c r="H26" s="192"/>
      <c r="I26" s="273"/>
      <c r="J26" s="193"/>
      <c r="K26" s="192"/>
      <c r="L26" s="192"/>
      <c r="M26" s="192"/>
      <c r="N26" s="273"/>
      <c r="O26" s="193"/>
      <c r="P26" s="194"/>
      <c r="Q26" s="192"/>
      <c r="R26" s="135"/>
      <c r="S26" s="99"/>
    </row>
    <row r="27" spans="1:19" s="27" customFormat="1" ht="16.5" customHeight="1">
      <c r="A27" s="83"/>
      <c r="B27" s="89" t="str">
        <f>'Financial Data Input'!A27</f>
        <v>Administration Costs</v>
      </c>
      <c r="C27" s="29"/>
      <c r="D27" s="47"/>
      <c r="F27" s="63">
        <f>HLOOKUP(EOMONTH(Instructions!$D$15,0),'Financial Data Input'!$C$4:$O$50,'Financial Data Input'!C27,FALSE)</f>
        <v>150</v>
      </c>
      <c r="G27" s="64">
        <f>HLOOKUP(EOMONTH($G$5,0),'Financial Data Input'!$A$127:$O$173,'Financial Data Input'!C150,FALSE)</f>
        <v>200</v>
      </c>
      <c r="H27" s="266">
        <f t="shared" ref="H27" si="14">G27-F27</f>
        <v>50</v>
      </c>
      <c r="I27" s="49">
        <f>IF(G27&gt;0,H27/G27,0%)</f>
        <v>0.25</v>
      </c>
      <c r="J27" s="50" t="str">
        <f t="shared" ref="J27" si="15">IF(I27="","",IF(I27&lt;0,"û","ü"))</f>
        <v>ü</v>
      </c>
      <c r="K27" s="63">
        <f>SUMIF('Financial Data Input'!$D$3:$O$3,"include",'Financial Data Input'!D27:O27)</f>
        <v>350</v>
      </c>
      <c r="L27" s="64">
        <f>SUMIF('Financial Data Input'!$D$3:$O$3,"include",'Financial Data Input'!D150:O150)</f>
        <v>400</v>
      </c>
      <c r="M27" s="65">
        <f t="shared" ref="M27" si="16">L27-K27</f>
        <v>50</v>
      </c>
      <c r="N27" s="49">
        <f>IF(L27&gt;0,M27/L27,0%)</f>
        <v>0.125</v>
      </c>
      <c r="O27" s="50" t="str">
        <f t="shared" ref="O27" si="17">IF(N27="","",IF(N27&lt;0,"û","ü"))</f>
        <v>ü</v>
      </c>
      <c r="P27" s="45"/>
      <c r="Q27" s="272">
        <f>'Financial Data Input'!Q150-M27</f>
        <v>2350</v>
      </c>
      <c r="R27" s="5"/>
      <c r="S27" s="99"/>
    </row>
    <row r="28" spans="1:19" s="27" customFormat="1" ht="16.5" customHeight="1">
      <c r="A28" s="83"/>
      <c r="B28" s="89" t="str">
        <f>'Financial Data Input'!A28</f>
        <v>Advocacy</v>
      </c>
      <c r="C28" s="29"/>
      <c r="D28" s="47"/>
      <c r="F28" s="57">
        <f>HLOOKUP(EOMONTH(Instructions!$D$15,0),'Financial Data Input'!$C$4:$O$50,'Financial Data Input'!C28,FALSE)</f>
        <v>90</v>
      </c>
      <c r="G28" s="58">
        <f>HLOOKUP(EOMONTH($G$5,0),'Financial Data Input'!$A$127:$O$173,'Financial Data Input'!C151,FALSE)</f>
        <v>100</v>
      </c>
      <c r="H28" s="183">
        <f t="shared" ref="H28" si="18">G28-F28</f>
        <v>10</v>
      </c>
      <c r="I28" s="48">
        <f>IF(G28&gt;0,H28/G28,0%)</f>
        <v>0.1</v>
      </c>
      <c r="J28" s="50" t="str">
        <f t="shared" ref="J28" si="19">IF(I28="","",IF(I28&lt;0,"û","ü"))</f>
        <v>ü</v>
      </c>
      <c r="K28" s="57">
        <f>SUMIF('Financial Data Input'!$D$3:$O$3,"include",'Financial Data Input'!D28:O28)</f>
        <v>190</v>
      </c>
      <c r="L28" s="58">
        <f>SUMIF('Financial Data Input'!$D$3:$O$3,"include",'Financial Data Input'!D151:O151)</f>
        <v>200</v>
      </c>
      <c r="M28" s="59">
        <f t="shared" ref="M28" si="20">L28-K28</f>
        <v>10</v>
      </c>
      <c r="N28" s="48">
        <f>IF(L28&gt;0,M28/L28,0%)</f>
        <v>0.05</v>
      </c>
      <c r="O28" s="50" t="str">
        <f t="shared" ref="O28" si="21">IF(N28="","",IF(N28&lt;0,"û","ü"))</f>
        <v>ü</v>
      </c>
      <c r="P28" s="45"/>
      <c r="Q28" s="122">
        <f>'Financial Data Input'!Q151-M28</f>
        <v>1190</v>
      </c>
      <c r="R28" s="5"/>
      <c r="S28" s="99"/>
    </row>
    <row r="29" spans="1:19" s="27" customFormat="1" ht="16.5" customHeight="1">
      <c r="A29" s="83"/>
      <c r="B29" s="89" t="str">
        <f>'Financial Data Input'!A29</f>
        <v>Audit Fees</v>
      </c>
      <c r="C29" s="29"/>
      <c r="D29" s="47"/>
      <c r="F29" s="57">
        <f>HLOOKUP(EOMONTH(Instructions!$D$15,0),'Financial Data Input'!$C$4:$O$50,'Financial Data Input'!C29,FALSE)</f>
        <v>3</v>
      </c>
      <c r="G29" s="58">
        <f>HLOOKUP(EOMONTH($G$5,0),'Financial Data Input'!$A$127:$O$173,'Financial Data Input'!C152,FALSE)</f>
        <v>3</v>
      </c>
      <c r="H29" s="183">
        <f t="shared" ref="H29:H47" si="22">G29-F29</f>
        <v>0</v>
      </c>
      <c r="I29" s="48">
        <f t="shared" ref="I29:I47" si="23">IF(G29&gt;0,H29/G29,0%)</f>
        <v>0</v>
      </c>
      <c r="J29" s="50" t="str">
        <f t="shared" ref="J29:J47" si="24">IF(I29="","",IF(I29&lt;0,"û","ü"))</f>
        <v>ü</v>
      </c>
      <c r="K29" s="57">
        <f>SUMIF('Financial Data Input'!$D$3:$O$3,"include",'Financial Data Input'!D29:O29)</f>
        <v>6</v>
      </c>
      <c r="L29" s="58">
        <f>SUMIF('Financial Data Input'!$D$3:$O$3,"include",'Financial Data Input'!D152:O152)</f>
        <v>6</v>
      </c>
      <c r="M29" s="59">
        <f t="shared" ref="M29:M47" si="25">L29-K29</f>
        <v>0</v>
      </c>
      <c r="N29" s="48">
        <f t="shared" ref="N29:N47" si="26">IF(L29&gt;0,M29/L29,0%)</f>
        <v>0</v>
      </c>
      <c r="O29" s="50" t="str">
        <f t="shared" ref="O29:O47" si="27">IF(N29="","",IF(N29&lt;0,"û","ü"))</f>
        <v>ü</v>
      </c>
      <c r="P29" s="45"/>
      <c r="Q29" s="122">
        <f>'Financial Data Input'!Q152-M29</f>
        <v>36</v>
      </c>
      <c r="R29" s="5"/>
      <c r="S29" s="99"/>
    </row>
    <row r="30" spans="1:19" s="27" customFormat="1" ht="16.5" customHeight="1">
      <c r="A30" s="83"/>
      <c r="B30" s="89" t="str">
        <f>'Financial Data Input'!A30</f>
        <v>Depreciation</v>
      </c>
      <c r="C30" s="29"/>
      <c r="D30" s="47"/>
      <c r="F30" s="57">
        <f>HLOOKUP(EOMONTH(Instructions!$D$15,0),'Financial Data Input'!$C$4:$O$50,'Financial Data Input'!C30,FALSE)</f>
        <v>150</v>
      </c>
      <c r="G30" s="58">
        <f>HLOOKUP(EOMONTH($G$5,0),'Financial Data Input'!$A$127:$O$173,'Financial Data Input'!C153,FALSE)</f>
        <v>200</v>
      </c>
      <c r="H30" s="183">
        <f t="shared" si="22"/>
        <v>50</v>
      </c>
      <c r="I30" s="48">
        <f t="shared" si="23"/>
        <v>0.25</v>
      </c>
      <c r="J30" s="50" t="str">
        <f t="shared" si="24"/>
        <v>ü</v>
      </c>
      <c r="K30" s="57">
        <f>SUMIF('Financial Data Input'!$D$3:$O$3,"include",'Financial Data Input'!D30:O30)</f>
        <v>350</v>
      </c>
      <c r="L30" s="58">
        <f>SUMIF('Financial Data Input'!$D$3:$O$3,"include",'Financial Data Input'!D153:O153)</f>
        <v>400</v>
      </c>
      <c r="M30" s="59">
        <f t="shared" si="25"/>
        <v>50</v>
      </c>
      <c r="N30" s="48">
        <f t="shared" si="26"/>
        <v>0.125</v>
      </c>
      <c r="O30" s="50" t="str">
        <f t="shared" si="27"/>
        <v>ü</v>
      </c>
      <c r="P30" s="45"/>
      <c r="Q30" s="122">
        <f>'Financial Data Input'!Q153-M30</f>
        <v>2350</v>
      </c>
      <c r="R30" s="5"/>
      <c r="S30" s="99"/>
    </row>
    <row r="31" spans="1:19" s="27" customFormat="1" ht="16.5" customHeight="1">
      <c r="A31" s="83"/>
      <c r="B31" s="89" t="str">
        <f>'Financial Data Input'!A31</f>
        <v>Interest Charges</v>
      </c>
      <c r="C31" s="29"/>
      <c r="D31" s="47"/>
      <c r="F31" s="57">
        <f>HLOOKUP(EOMONTH(Instructions!$D$15,0),'Financial Data Input'!$C$4:$O$50,'Financial Data Input'!C31,FALSE)</f>
        <v>150</v>
      </c>
      <c r="G31" s="58">
        <f>HLOOKUP(EOMONTH($G$5,0),'Financial Data Input'!$A$127:$O$173,'Financial Data Input'!C154,FALSE)</f>
        <v>200</v>
      </c>
      <c r="H31" s="183">
        <f t="shared" si="22"/>
        <v>50</v>
      </c>
      <c r="I31" s="48">
        <f t="shared" si="23"/>
        <v>0.25</v>
      </c>
      <c r="J31" s="50" t="str">
        <f t="shared" si="24"/>
        <v>ü</v>
      </c>
      <c r="K31" s="57">
        <f>SUMIF('Financial Data Input'!$D$3:$O$3,"include",'Financial Data Input'!D31:O31)</f>
        <v>350</v>
      </c>
      <c r="L31" s="58">
        <f>SUMIF('Financial Data Input'!$D$3:$O$3,"include",'Financial Data Input'!D154:O154)</f>
        <v>400</v>
      </c>
      <c r="M31" s="59">
        <f t="shared" si="25"/>
        <v>50</v>
      </c>
      <c r="N31" s="48">
        <f t="shared" si="26"/>
        <v>0.125</v>
      </c>
      <c r="O31" s="50" t="str">
        <f t="shared" si="27"/>
        <v>ü</v>
      </c>
      <c r="P31" s="45"/>
      <c r="Q31" s="122">
        <f>'Financial Data Input'!Q154-M31</f>
        <v>2350</v>
      </c>
      <c r="R31" s="5"/>
      <c r="S31" s="99"/>
    </row>
    <row r="32" spans="1:19" s="27" customFormat="1" ht="16.5" customHeight="1">
      <c r="A32" s="83"/>
      <c r="B32" s="89" t="str">
        <f>'Financial Data Input'!A32</f>
        <v>Programs and Training Courses</v>
      </c>
      <c r="C32" s="29"/>
      <c r="D32" s="47"/>
      <c r="F32" s="57">
        <f>HLOOKUP(EOMONTH(Instructions!$D$15,0),'Financial Data Input'!$C$4:$O$50,'Financial Data Input'!C32,FALSE)</f>
        <v>150</v>
      </c>
      <c r="G32" s="58">
        <f>HLOOKUP(EOMONTH($G$5,0),'Financial Data Input'!$A$127:$O$173,'Financial Data Input'!C155,FALSE)</f>
        <v>200</v>
      </c>
      <c r="H32" s="183">
        <f t="shared" si="22"/>
        <v>50</v>
      </c>
      <c r="I32" s="48">
        <f t="shared" si="23"/>
        <v>0.25</v>
      </c>
      <c r="J32" s="50" t="str">
        <f t="shared" si="24"/>
        <v>ü</v>
      </c>
      <c r="K32" s="57">
        <f>SUMIF('Financial Data Input'!$D$3:$O$3,"include",'Financial Data Input'!D32:O32)</f>
        <v>350</v>
      </c>
      <c r="L32" s="58">
        <f>SUMIF('Financial Data Input'!$D$3:$O$3,"include",'Financial Data Input'!D155:O155)</f>
        <v>400</v>
      </c>
      <c r="M32" s="59">
        <f t="shared" si="25"/>
        <v>50</v>
      </c>
      <c r="N32" s="48">
        <f t="shared" si="26"/>
        <v>0.125</v>
      </c>
      <c r="O32" s="50" t="str">
        <f t="shared" si="27"/>
        <v>ü</v>
      </c>
      <c r="P32" s="45"/>
      <c r="Q32" s="122">
        <f>'Financial Data Input'!Q155-M32</f>
        <v>2350</v>
      </c>
      <c r="R32" s="5"/>
      <c r="S32" s="99"/>
    </row>
    <row r="33" spans="1:19" s="27" customFormat="1" ht="16.5" customHeight="1">
      <c r="A33" s="83"/>
      <c r="B33" s="89" t="str">
        <f>'Financial Data Input'!A33</f>
        <v>Talent Development</v>
      </c>
      <c r="C33" s="29"/>
      <c r="D33" s="47"/>
      <c r="F33" s="57">
        <f>HLOOKUP(EOMONTH(Instructions!$D$15,0),'Financial Data Input'!$C$4:$O$50,'Financial Data Input'!C33,FALSE)</f>
        <v>90</v>
      </c>
      <c r="G33" s="58">
        <f>HLOOKUP(EOMONTH($G$5,0),'Financial Data Input'!$A$127:$O$173,'Financial Data Input'!C156,FALSE)</f>
        <v>100</v>
      </c>
      <c r="H33" s="183">
        <f t="shared" si="22"/>
        <v>10</v>
      </c>
      <c r="I33" s="48">
        <f t="shared" si="23"/>
        <v>0.1</v>
      </c>
      <c r="J33" s="50" t="str">
        <f t="shared" si="24"/>
        <v>ü</v>
      </c>
      <c r="K33" s="57">
        <f>SUMIF('Financial Data Input'!$D$3:$O$3,"include",'Financial Data Input'!D33:O33)</f>
        <v>190</v>
      </c>
      <c r="L33" s="58">
        <f>SUMIF('Financial Data Input'!$D$3:$O$3,"include",'Financial Data Input'!D156:O156)</f>
        <v>200</v>
      </c>
      <c r="M33" s="59">
        <f t="shared" si="25"/>
        <v>10</v>
      </c>
      <c r="N33" s="48">
        <f t="shared" si="26"/>
        <v>0.05</v>
      </c>
      <c r="O33" s="50" t="str">
        <f t="shared" si="27"/>
        <v>ü</v>
      </c>
      <c r="P33" s="45"/>
      <c r="Q33" s="122">
        <f>'Financial Data Input'!Q156-M33</f>
        <v>1190</v>
      </c>
      <c r="R33" s="5"/>
      <c r="S33" s="99"/>
    </row>
    <row r="34" spans="1:19" s="27" customFormat="1" ht="16.5" customHeight="1">
      <c r="A34" s="83"/>
      <c r="B34" s="89" t="str">
        <f>'Financial Data Input'!A34</f>
        <v>Event Costs</v>
      </c>
      <c r="C34" s="29"/>
      <c r="D34" s="47"/>
      <c r="F34" s="57">
        <f>HLOOKUP(EOMONTH(Instructions!$D$15,0),'Financial Data Input'!$C$4:$O$50,'Financial Data Input'!C34,FALSE)</f>
        <v>3</v>
      </c>
      <c r="G34" s="58">
        <f>HLOOKUP(EOMONTH($G$5,0),'Financial Data Input'!$A$127:$O$173,'Financial Data Input'!C157,FALSE)</f>
        <v>3</v>
      </c>
      <c r="H34" s="183">
        <f t="shared" si="22"/>
        <v>0</v>
      </c>
      <c r="I34" s="48">
        <f t="shared" si="23"/>
        <v>0</v>
      </c>
      <c r="J34" s="50" t="str">
        <f t="shared" si="24"/>
        <v>ü</v>
      </c>
      <c r="K34" s="57">
        <f>SUMIF('Financial Data Input'!$D$3:$O$3,"include",'Financial Data Input'!D34:O34)</f>
        <v>6</v>
      </c>
      <c r="L34" s="58">
        <f>SUMIF('Financial Data Input'!$D$3:$O$3,"include",'Financial Data Input'!D157:O157)</f>
        <v>6</v>
      </c>
      <c r="M34" s="59">
        <f t="shared" si="25"/>
        <v>0</v>
      </c>
      <c r="N34" s="48">
        <f t="shared" si="26"/>
        <v>0</v>
      </c>
      <c r="O34" s="50" t="str">
        <f t="shared" si="27"/>
        <v>ü</v>
      </c>
      <c r="P34" s="45"/>
      <c r="Q34" s="122">
        <f>'Financial Data Input'!Q157-M34</f>
        <v>36</v>
      </c>
      <c r="R34" s="5"/>
      <c r="S34" s="99"/>
    </row>
    <row r="35" spans="1:19" s="27" customFormat="1" ht="16.5" customHeight="1">
      <c r="A35" s="83"/>
      <c r="B35" s="89" t="str">
        <f>'Financial Data Input'!A35</f>
        <v>Other</v>
      </c>
      <c r="C35" s="29"/>
      <c r="D35" s="47"/>
      <c r="F35" s="57">
        <f>HLOOKUP(EOMONTH(Instructions!$D$15,0),'Financial Data Input'!$C$4:$O$50,'Financial Data Input'!C35,FALSE)</f>
        <v>150</v>
      </c>
      <c r="G35" s="58">
        <f>HLOOKUP(EOMONTH($G$5,0),'Financial Data Input'!$A$127:$O$173,'Financial Data Input'!C158,FALSE)</f>
        <v>200</v>
      </c>
      <c r="H35" s="183">
        <f t="shared" si="22"/>
        <v>50</v>
      </c>
      <c r="I35" s="48">
        <f t="shared" si="23"/>
        <v>0.25</v>
      </c>
      <c r="J35" s="50" t="str">
        <f t="shared" si="24"/>
        <v>ü</v>
      </c>
      <c r="K35" s="57">
        <f>SUMIF('Financial Data Input'!$D$3:$O$3,"include",'Financial Data Input'!D35:O35)</f>
        <v>350</v>
      </c>
      <c r="L35" s="58">
        <f>SUMIF('Financial Data Input'!$D$3:$O$3,"include",'Financial Data Input'!D158:O158)</f>
        <v>400</v>
      </c>
      <c r="M35" s="59">
        <f t="shared" si="25"/>
        <v>50</v>
      </c>
      <c r="N35" s="48">
        <f t="shared" si="26"/>
        <v>0.125</v>
      </c>
      <c r="O35" s="50" t="str">
        <f t="shared" si="27"/>
        <v>ü</v>
      </c>
      <c r="P35" s="45"/>
      <c r="Q35" s="122">
        <f>'Financial Data Input'!Q158-M35</f>
        <v>2350</v>
      </c>
      <c r="R35" s="5"/>
      <c r="S35" s="99"/>
    </row>
    <row r="36" spans="1:19" s="27" customFormat="1" ht="16.5" customHeight="1">
      <c r="A36" s="83"/>
      <c r="B36" s="89" t="str">
        <f>'Financial Data Input'!A36</f>
        <v>Other</v>
      </c>
      <c r="C36" s="29"/>
      <c r="D36" s="47"/>
      <c r="F36" s="57">
        <f>HLOOKUP(EOMONTH(Instructions!$D$15,0),'Financial Data Input'!$C$4:$O$50,'Financial Data Input'!C36,FALSE)</f>
        <v>90</v>
      </c>
      <c r="G36" s="58">
        <f>HLOOKUP(EOMONTH($G$5,0),'Financial Data Input'!$A$127:$O$173,'Financial Data Input'!C159,FALSE)</f>
        <v>100</v>
      </c>
      <c r="H36" s="183">
        <f t="shared" si="22"/>
        <v>10</v>
      </c>
      <c r="I36" s="48">
        <f t="shared" si="23"/>
        <v>0.1</v>
      </c>
      <c r="J36" s="50" t="str">
        <f t="shared" si="24"/>
        <v>ü</v>
      </c>
      <c r="K36" s="57">
        <f>SUMIF('Financial Data Input'!$D$3:$O$3,"include",'Financial Data Input'!D36:O36)</f>
        <v>190</v>
      </c>
      <c r="L36" s="58">
        <f>SUMIF('Financial Data Input'!$D$3:$O$3,"include",'Financial Data Input'!D159:O159)</f>
        <v>200</v>
      </c>
      <c r="M36" s="59">
        <f t="shared" si="25"/>
        <v>10</v>
      </c>
      <c r="N36" s="48">
        <f t="shared" si="26"/>
        <v>0.05</v>
      </c>
      <c r="O36" s="50" t="str">
        <f t="shared" si="27"/>
        <v>ü</v>
      </c>
      <c r="P36" s="45"/>
      <c r="Q36" s="122">
        <f>'Financial Data Input'!Q159-M36</f>
        <v>1190</v>
      </c>
      <c r="R36" s="5"/>
      <c r="S36" s="99"/>
    </row>
    <row r="37" spans="1:19" s="27" customFormat="1" ht="16.5" customHeight="1">
      <c r="A37" s="83"/>
      <c r="B37" s="89" t="str">
        <f>'Financial Data Input'!A37</f>
        <v>Other</v>
      </c>
      <c r="C37" s="29"/>
      <c r="D37" s="47"/>
      <c r="F37" s="57">
        <f>HLOOKUP(EOMONTH(Instructions!$D$15,0),'Financial Data Input'!$C$4:$O$50,'Financial Data Input'!C37,FALSE)</f>
        <v>3</v>
      </c>
      <c r="G37" s="58">
        <f>HLOOKUP(EOMONTH($G$5,0),'Financial Data Input'!$A$127:$O$173,'Financial Data Input'!C160,FALSE)</f>
        <v>3</v>
      </c>
      <c r="H37" s="183">
        <f t="shared" si="22"/>
        <v>0</v>
      </c>
      <c r="I37" s="48">
        <f t="shared" si="23"/>
        <v>0</v>
      </c>
      <c r="J37" s="50" t="str">
        <f t="shared" si="24"/>
        <v>ü</v>
      </c>
      <c r="K37" s="57">
        <f>SUMIF('Financial Data Input'!$D$3:$O$3,"include",'Financial Data Input'!D37:O37)</f>
        <v>6</v>
      </c>
      <c r="L37" s="58">
        <f>SUMIF('Financial Data Input'!$D$3:$O$3,"include",'Financial Data Input'!D160:O160)</f>
        <v>6</v>
      </c>
      <c r="M37" s="59">
        <f t="shared" si="25"/>
        <v>0</v>
      </c>
      <c r="N37" s="48">
        <f t="shared" si="26"/>
        <v>0</v>
      </c>
      <c r="O37" s="50" t="str">
        <f t="shared" si="27"/>
        <v>ü</v>
      </c>
      <c r="P37" s="45"/>
      <c r="Q37" s="122">
        <f>'Financial Data Input'!Q160-M37</f>
        <v>36</v>
      </c>
      <c r="R37" s="5"/>
      <c r="S37" s="99"/>
    </row>
    <row r="38" spans="1:19" s="27" customFormat="1" ht="16.5" customHeight="1">
      <c r="A38" s="83"/>
      <c r="B38" s="89" t="str">
        <f>'Financial Data Input'!A38</f>
        <v>Other</v>
      </c>
      <c r="C38" s="29"/>
      <c r="D38" s="47"/>
      <c r="F38" s="57">
        <f>HLOOKUP(EOMONTH(Instructions!$D$15,0),'Financial Data Input'!$C$4:$O$50,'Financial Data Input'!C38,FALSE)</f>
        <v>0</v>
      </c>
      <c r="G38" s="58">
        <f>HLOOKUP(EOMONTH($G$5,0),'Financial Data Input'!$A$127:$O$173,'Financial Data Input'!C161,FALSE)</f>
        <v>6</v>
      </c>
      <c r="H38" s="183">
        <f t="shared" si="22"/>
        <v>6</v>
      </c>
      <c r="I38" s="48">
        <f t="shared" si="23"/>
        <v>1</v>
      </c>
      <c r="J38" s="50" t="str">
        <f t="shared" si="24"/>
        <v>ü</v>
      </c>
      <c r="K38" s="57">
        <f>SUMIF('Financial Data Input'!$D$3:$O$3,"include",'Financial Data Input'!D38:O38)</f>
        <v>0</v>
      </c>
      <c r="L38" s="58">
        <f>SUMIF('Financial Data Input'!$D$3:$O$3,"include",'Financial Data Input'!D161:O161)</f>
        <v>12</v>
      </c>
      <c r="M38" s="59">
        <f t="shared" si="25"/>
        <v>12</v>
      </c>
      <c r="N38" s="48">
        <f t="shared" si="26"/>
        <v>1</v>
      </c>
      <c r="O38" s="50" t="str">
        <f t="shared" si="27"/>
        <v>ü</v>
      </c>
      <c r="P38" s="45"/>
      <c r="Q38" s="122">
        <f>'Financial Data Input'!Q161-M38</f>
        <v>60</v>
      </c>
      <c r="R38" s="5"/>
      <c r="S38" s="99"/>
    </row>
    <row r="39" spans="1:19" s="27" customFormat="1" ht="16.5" customHeight="1">
      <c r="A39" s="83"/>
      <c r="B39" s="89" t="str">
        <f>'Financial Data Input'!A39</f>
        <v>Other</v>
      </c>
      <c r="C39" s="29"/>
      <c r="D39" s="47"/>
      <c r="F39" s="57">
        <f>HLOOKUP(EOMONTH(Instructions!$D$15,0),'Financial Data Input'!$C$4:$O$50,'Financial Data Input'!C39,FALSE)</f>
        <v>0</v>
      </c>
      <c r="G39" s="58">
        <f>HLOOKUP(EOMONTH($G$5,0),'Financial Data Input'!$A$127:$O$173,'Financial Data Input'!C162,FALSE)</f>
        <v>0</v>
      </c>
      <c r="H39" s="183">
        <f t="shared" si="22"/>
        <v>0</v>
      </c>
      <c r="I39" s="48">
        <f t="shared" si="23"/>
        <v>0</v>
      </c>
      <c r="J39" s="50" t="str">
        <f t="shared" si="24"/>
        <v>ü</v>
      </c>
      <c r="K39" s="57">
        <f>SUMIF('Financial Data Input'!$D$3:$O$3,"include",'Financial Data Input'!D39:O39)</f>
        <v>0</v>
      </c>
      <c r="L39" s="58">
        <f>SUMIF('Financial Data Input'!$D$3:$O$3,"include",'Financial Data Input'!D162:O162)</f>
        <v>0</v>
      </c>
      <c r="M39" s="59">
        <f t="shared" si="25"/>
        <v>0</v>
      </c>
      <c r="N39" s="48">
        <f t="shared" si="26"/>
        <v>0</v>
      </c>
      <c r="O39" s="50" t="str">
        <f t="shared" si="27"/>
        <v>ü</v>
      </c>
      <c r="P39" s="45"/>
      <c r="Q39" s="122">
        <f>'Financial Data Input'!Q162-M39</f>
        <v>0</v>
      </c>
      <c r="R39" s="5"/>
      <c r="S39" s="99"/>
    </row>
    <row r="40" spans="1:19" s="27" customFormat="1" ht="16.5" customHeight="1">
      <c r="A40" s="83"/>
      <c r="B40" s="89" t="str">
        <f>'Financial Data Input'!A40</f>
        <v>Other</v>
      </c>
      <c r="C40" s="29"/>
      <c r="D40" s="47"/>
      <c r="F40" s="57">
        <f>HLOOKUP(EOMONTH(Instructions!$D$15,0),'Financial Data Input'!$C$4:$O$50,'Financial Data Input'!C40,FALSE)</f>
        <v>0</v>
      </c>
      <c r="G40" s="58">
        <f>HLOOKUP(EOMONTH($G$5,0),'Financial Data Input'!$A$127:$O$173,'Financial Data Input'!C163,FALSE)</f>
        <v>0</v>
      </c>
      <c r="H40" s="183">
        <f t="shared" si="22"/>
        <v>0</v>
      </c>
      <c r="I40" s="48">
        <f t="shared" si="23"/>
        <v>0</v>
      </c>
      <c r="J40" s="50" t="str">
        <f t="shared" si="24"/>
        <v>ü</v>
      </c>
      <c r="K40" s="57">
        <f>SUMIF('Financial Data Input'!$D$3:$O$3,"include",'Financial Data Input'!D40:O40)</f>
        <v>0</v>
      </c>
      <c r="L40" s="58">
        <f>SUMIF('Financial Data Input'!$D$3:$O$3,"include",'Financial Data Input'!D163:O163)</f>
        <v>0</v>
      </c>
      <c r="M40" s="59">
        <f t="shared" si="25"/>
        <v>0</v>
      </c>
      <c r="N40" s="48">
        <f t="shared" si="26"/>
        <v>0</v>
      </c>
      <c r="O40" s="50" t="str">
        <f t="shared" si="27"/>
        <v>ü</v>
      </c>
      <c r="P40" s="45"/>
      <c r="Q40" s="122">
        <f>'Financial Data Input'!Q163-M40</f>
        <v>0</v>
      </c>
      <c r="R40" s="5"/>
      <c r="S40" s="99"/>
    </row>
    <row r="41" spans="1:19" s="27" customFormat="1" ht="16.5" customHeight="1">
      <c r="A41" s="83"/>
      <c r="B41" s="89" t="str">
        <f>'Financial Data Input'!A41</f>
        <v>Other</v>
      </c>
      <c r="C41" s="29"/>
      <c r="D41" s="47"/>
      <c r="F41" s="57">
        <f>HLOOKUP(EOMONTH(Instructions!$D$15,0),'Financial Data Input'!$C$4:$O$50,'Financial Data Input'!C41,FALSE)</f>
        <v>0</v>
      </c>
      <c r="G41" s="58">
        <f>HLOOKUP(EOMONTH($G$5,0),'Financial Data Input'!$A$127:$O$173,'Financial Data Input'!C164,FALSE)</f>
        <v>0</v>
      </c>
      <c r="H41" s="183">
        <f t="shared" si="22"/>
        <v>0</v>
      </c>
      <c r="I41" s="48">
        <f t="shared" si="23"/>
        <v>0</v>
      </c>
      <c r="J41" s="50" t="str">
        <f t="shared" si="24"/>
        <v>ü</v>
      </c>
      <c r="K41" s="57">
        <f>SUMIF('Financial Data Input'!$D$3:$O$3,"include",'Financial Data Input'!D41:O41)</f>
        <v>0</v>
      </c>
      <c r="L41" s="58">
        <f>SUMIF('Financial Data Input'!$D$3:$O$3,"include",'Financial Data Input'!D164:O164)</f>
        <v>0</v>
      </c>
      <c r="M41" s="59">
        <f t="shared" si="25"/>
        <v>0</v>
      </c>
      <c r="N41" s="48">
        <f t="shared" si="26"/>
        <v>0</v>
      </c>
      <c r="O41" s="50" t="str">
        <f t="shared" si="27"/>
        <v>ü</v>
      </c>
      <c r="P41" s="45"/>
      <c r="Q41" s="122">
        <f>'Financial Data Input'!Q164-M41</f>
        <v>0</v>
      </c>
      <c r="R41" s="5"/>
      <c r="S41" s="99"/>
    </row>
    <row r="42" spans="1:19" s="27" customFormat="1" ht="16.5" customHeight="1">
      <c r="A42" s="83"/>
      <c r="B42" s="89" t="str">
        <f>'Financial Data Input'!A42</f>
        <v>Other</v>
      </c>
      <c r="C42" s="29"/>
      <c r="D42" s="47"/>
      <c r="F42" s="57">
        <f>HLOOKUP(EOMONTH(Instructions!$D$15,0),'Financial Data Input'!$C$4:$O$50,'Financial Data Input'!C42,FALSE)</f>
        <v>0</v>
      </c>
      <c r="G42" s="58">
        <f>HLOOKUP(EOMONTH($G$5,0),'Financial Data Input'!$A$127:$O$173,'Financial Data Input'!C165,FALSE)</f>
        <v>0</v>
      </c>
      <c r="H42" s="183">
        <f t="shared" si="22"/>
        <v>0</v>
      </c>
      <c r="I42" s="48">
        <f t="shared" si="23"/>
        <v>0</v>
      </c>
      <c r="J42" s="50" t="str">
        <f t="shared" si="24"/>
        <v>ü</v>
      </c>
      <c r="K42" s="57">
        <f>SUMIF('Financial Data Input'!$D$3:$O$3,"include",'Financial Data Input'!D42:O42)</f>
        <v>0</v>
      </c>
      <c r="L42" s="58">
        <f>SUMIF('Financial Data Input'!$D$3:$O$3,"include",'Financial Data Input'!D165:O165)</f>
        <v>0</v>
      </c>
      <c r="M42" s="59">
        <f t="shared" si="25"/>
        <v>0</v>
      </c>
      <c r="N42" s="48">
        <f t="shared" si="26"/>
        <v>0</v>
      </c>
      <c r="O42" s="50" t="str">
        <f t="shared" si="27"/>
        <v>ü</v>
      </c>
      <c r="P42" s="45"/>
      <c r="Q42" s="122">
        <f>'Financial Data Input'!Q165-M42</f>
        <v>0</v>
      </c>
      <c r="R42" s="5"/>
      <c r="S42" s="99"/>
    </row>
    <row r="43" spans="1:19" s="27" customFormat="1" ht="16.5" customHeight="1">
      <c r="A43" s="83"/>
      <c r="B43" s="89" t="str">
        <f>'Financial Data Input'!A43</f>
        <v>Other</v>
      </c>
      <c r="C43" s="29"/>
      <c r="D43" s="47"/>
      <c r="F43" s="57">
        <f>HLOOKUP(EOMONTH(Instructions!$D$15,0),'Financial Data Input'!$C$4:$O$50,'Financial Data Input'!C43,FALSE)</f>
        <v>0</v>
      </c>
      <c r="G43" s="58">
        <f>HLOOKUP(EOMONTH($G$5,0),'Financial Data Input'!$A$127:$O$173,'Financial Data Input'!C166,FALSE)</f>
        <v>0</v>
      </c>
      <c r="H43" s="183">
        <f t="shared" si="22"/>
        <v>0</v>
      </c>
      <c r="I43" s="48">
        <f t="shared" si="23"/>
        <v>0</v>
      </c>
      <c r="J43" s="50" t="str">
        <f t="shared" si="24"/>
        <v>ü</v>
      </c>
      <c r="K43" s="57">
        <f>SUMIF('Financial Data Input'!$D$3:$O$3,"include",'Financial Data Input'!D43:O43)</f>
        <v>0</v>
      </c>
      <c r="L43" s="58">
        <f>SUMIF('Financial Data Input'!$D$3:$O$3,"include",'Financial Data Input'!D166:O166)</f>
        <v>0</v>
      </c>
      <c r="M43" s="59">
        <f t="shared" si="25"/>
        <v>0</v>
      </c>
      <c r="N43" s="48">
        <f t="shared" si="26"/>
        <v>0</v>
      </c>
      <c r="O43" s="50" t="str">
        <f t="shared" si="27"/>
        <v>ü</v>
      </c>
      <c r="P43" s="45"/>
      <c r="Q43" s="122">
        <f>'Financial Data Input'!Q166-M43</f>
        <v>0</v>
      </c>
      <c r="R43" s="5"/>
      <c r="S43" s="99"/>
    </row>
    <row r="44" spans="1:19" s="27" customFormat="1" ht="16.5" customHeight="1">
      <c r="A44" s="83"/>
      <c r="B44" s="89" t="str">
        <f>'Financial Data Input'!A44</f>
        <v>Other</v>
      </c>
      <c r="C44" s="29"/>
      <c r="D44" s="47"/>
      <c r="F44" s="57">
        <f>HLOOKUP(EOMONTH(Instructions!$D$15,0),'Financial Data Input'!$C$4:$O$50,'Financial Data Input'!C44,FALSE)</f>
        <v>0</v>
      </c>
      <c r="G44" s="58">
        <f>HLOOKUP(EOMONTH($G$5,0),'Financial Data Input'!$A$127:$O$173,'Financial Data Input'!C167,FALSE)</f>
        <v>0</v>
      </c>
      <c r="H44" s="183">
        <f t="shared" si="22"/>
        <v>0</v>
      </c>
      <c r="I44" s="48">
        <f t="shared" si="23"/>
        <v>0</v>
      </c>
      <c r="J44" s="50" t="str">
        <f t="shared" si="24"/>
        <v>ü</v>
      </c>
      <c r="K44" s="57">
        <f>SUMIF('Financial Data Input'!$D$3:$O$3,"include",'Financial Data Input'!D44:O44)</f>
        <v>0</v>
      </c>
      <c r="L44" s="58">
        <f>SUMIF('Financial Data Input'!$D$3:$O$3,"include",'Financial Data Input'!D167:O167)</f>
        <v>0</v>
      </c>
      <c r="M44" s="59">
        <f t="shared" si="25"/>
        <v>0</v>
      </c>
      <c r="N44" s="48">
        <f t="shared" si="26"/>
        <v>0</v>
      </c>
      <c r="O44" s="50" t="str">
        <f t="shared" si="27"/>
        <v>ü</v>
      </c>
      <c r="P44" s="45"/>
      <c r="Q44" s="122">
        <f>'Financial Data Input'!Q167-M44</f>
        <v>0</v>
      </c>
      <c r="R44" s="5"/>
      <c r="S44" s="99"/>
    </row>
    <row r="45" spans="1:19" s="27" customFormat="1" ht="16.5" customHeight="1">
      <c r="A45" s="83"/>
      <c r="B45" s="89" t="str">
        <f>'Financial Data Input'!A45</f>
        <v>Other</v>
      </c>
      <c r="C45" s="29"/>
      <c r="D45" s="47"/>
      <c r="F45" s="57">
        <f>HLOOKUP(EOMONTH(Instructions!$D$15,0),'Financial Data Input'!$C$4:$O$50,'Financial Data Input'!C45,FALSE)</f>
        <v>0</v>
      </c>
      <c r="G45" s="58">
        <f>HLOOKUP(EOMONTH($G$5,0),'Financial Data Input'!$A$127:$O$173,'Financial Data Input'!C168,FALSE)</f>
        <v>0</v>
      </c>
      <c r="H45" s="183">
        <f t="shared" si="22"/>
        <v>0</v>
      </c>
      <c r="I45" s="48">
        <f t="shared" si="23"/>
        <v>0</v>
      </c>
      <c r="J45" s="50" t="str">
        <f t="shared" si="24"/>
        <v>ü</v>
      </c>
      <c r="K45" s="57">
        <f>SUMIF('Financial Data Input'!$D$3:$O$3,"include",'Financial Data Input'!D45:O45)</f>
        <v>0</v>
      </c>
      <c r="L45" s="58">
        <f>SUMIF('Financial Data Input'!$D$3:$O$3,"include",'Financial Data Input'!D168:O168)</f>
        <v>0</v>
      </c>
      <c r="M45" s="59">
        <f t="shared" si="25"/>
        <v>0</v>
      </c>
      <c r="N45" s="48">
        <f t="shared" si="26"/>
        <v>0</v>
      </c>
      <c r="O45" s="50" t="str">
        <f t="shared" si="27"/>
        <v>ü</v>
      </c>
      <c r="P45" s="45"/>
      <c r="Q45" s="122">
        <f>'Financial Data Input'!Q168-M45</f>
        <v>0</v>
      </c>
      <c r="R45" s="5"/>
      <c r="S45" s="99"/>
    </row>
    <row r="46" spans="1:19" s="27" customFormat="1" ht="16.5" customHeight="1">
      <c r="A46" s="83"/>
      <c r="B46" s="89" t="str">
        <f>'Financial Data Input'!A46</f>
        <v>Other</v>
      </c>
      <c r="C46" s="29"/>
      <c r="D46" s="47"/>
      <c r="F46" s="57">
        <f>HLOOKUP(EOMONTH(Instructions!$D$15,0),'Financial Data Input'!$C$4:$O$50,'Financial Data Input'!C46,FALSE)</f>
        <v>0</v>
      </c>
      <c r="G46" s="58">
        <f>HLOOKUP(EOMONTH($G$5,0),'Financial Data Input'!$A$127:$O$173,'Financial Data Input'!C169,FALSE)</f>
        <v>0</v>
      </c>
      <c r="H46" s="183">
        <f t="shared" si="22"/>
        <v>0</v>
      </c>
      <c r="I46" s="48">
        <f t="shared" si="23"/>
        <v>0</v>
      </c>
      <c r="J46" s="50" t="str">
        <f t="shared" si="24"/>
        <v>ü</v>
      </c>
      <c r="K46" s="57">
        <f>SUMIF('Financial Data Input'!$D$3:$O$3,"include",'Financial Data Input'!D46:O46)</f>
        <v>0</v>
      </c>
      <c r="L46" s="58">
        <f>SUMIF('Financial Data Input'!$D$3:$O$3,"include",'Financial Data Input'!D169:O169)</f>
        <v>0</v>
      </c>
      <c r="M46" s="59">
        <f t="shared" si="25"/>
        <v>0</v>
      </c>
      <c r="N46" s="48">
        <f t="shared" si="26"/>
        <v>0</v>
      </c>
      <c r="O46" s="50" t="str">
        <f t="shared" si="27"/>
        <v>ü</v>
      </c>
      <c r="P46" s="45"/>
      <c r="Q46" s="122">
        <f>'Financial Data Input'!Q169-M46</f>
        <v>0</v>
      </c>
      <c r="R46" s="5"/>
      <c r="S46" s="99"/>
    </row>
    <row r="47" spans="1:19" s="27" customFormat="1" ht="16.5" customHeight="1">
      <c r="A47" s="83"/>
      <c r="B47" s="89" t="str">
        <f>'Financial Data Input'!A47</f>
        <v>Other</v>
      </c>
      <c r="C47" s="29"/>
      <c r="D47" s="47"/>
      <c r="F47" s="57">
        <f>HLOOKUP(EOMONTH(Instructions!$D$15,0),'Financial Data Input'!$C$4:$O$50,'Financial Data Input'!C47,FALSE)</f>
        <v>0</v>
      </c>
      <c r="G47" s="58">
        <f>HLOOKUP(EOMONTH($G$5,0),'Financial Data Input'!$A$127:$O$173,'Financial Data Input'!C170,FALSE)</f>
        <v>0</v>
      </c>
      <c r="H47" s="183">
        <f t="shared" si="22"/>
        <v>0</v>
      </c>
      <c r="I47" s="48">
        <f t="shared" si="23"/>
        <v>0</v>
      </c>
      <c r="J47" s="50" t="str">
        <f t="shared" si="24"/>
        <v>ü</v>
      </c>
      <c r="K47" s="57">
        <f>SUMIF('Financial Data Input'!$D$3:$O$3,"include",'Financial Data Input'!D47:O47)</f>
        <v>0</v>
      </c>
      <c r="L47" s="58">
        <f>SUMIF('Financial Data Input'!$D$3:$O$3,"include",'Financial Data Input'!D170:O170)</f>
        <v>0</v>
      </c>
      <c r="M47" s="59">
        <f t="shared" si="25"/>
        <v>0</v>
      </c>
      <c r="N47" s="48">
        <f t="shared" si="26"/>
        <v>0</v>
      </c>
      <c r="O47" s="50" t="str">
        <f t="shared" si="27"/>
        <v>ü</v>
      </c>
      <c r="P47" s="45"/>
      <c r="Q47" s="122">
        <f>'Financial Data Input'!Q170-M47</f>
        <v>0</v>
      </c>
      <c r="R47" s="5"/>
      <c r="S47" s="99"/>
    </row>
    <row r="48" spans="1:19" s="27" customFormat="1" ht="16.5" customHeight="1">
      <c r="A48" s="83"/>
      <c r="B48" s="89"/>
      <c r="C48" s="29"/>
      <c r="D48" s="47"/>
      <c r="F48" s="267"/>
      <c r="G48" s="268"/>
      <c r="H48" s="269"/>
      <c r="I48" s="270"/>
      <c r="J48" s="193"/>
      <c r="K48" s="271"/>
      <c r="L48" s="268"/>
      <c r="M48" s="271"/>
      <c r="N48" s="270"/>
      <c r="O48" s="193"/>
      <c r="P48" s="194"/>
      <c r="Q48" s="151"/>
      <c r="R48" s="5"/>
      <c r="S48" s="99"/>
    </row>
    <row r="49" spans="1:19" s="27" customFormat="1" ht="16.5" customHeight="1">
      <c r="A49" s="83"/>
      <c r="B49" s="88" t="s">
        <v>85</v>
      </c>
      <c r="C49" s="29"/>
      <c r="D49" s="47"/>
      <c r="F49" s="188">
        <f>SUM(F27:F47)</f>
        <v>1029</v>
      </c>
      <c r="G49" s="189">
        <f>SUM(G27:G47)</f>
        <v>1315</v>
      </c>
      <c r="H49" s="190">
        <f>G49-F49</f>
        <v>286</v>
      </c>
      <c r="I49" s="191">
        <f>IF(G49&gt;0,H49/G49,"")</f>
        <v>0.21749049429657794</v>
      </c>
      <c r="J49" s="50" t="str">
        <f>IF(I49="","",IF(I49&lt;0,"û","ü"))</f>
        <v>ü</v>
      </c>
      <c r="K49" s="188">
        <f>SUM(K27:K47)</f>
        <v>2338</v>
      </c>
      <c r="L49" s="189">
        <f>SUM(L27:L47)</f>
        <v>2630</v>
      </c>
      <c r="M49" s="190">
        <f>L49-K49</f>
        <v>292</v>
      </c>
      <c r="N49" s="191">
        <f>IF(L49&gt;0,M49/L49,"")</f>
        <v>0.11102661596958174</v>
      </c>
      <c r="O49" s="50" t="str">
        <f>IF(N49="","",IF(N49&lt;0,"û","ü"))</f>
        <v>ü</v>
      </c>
      <c r="P49" s="53"/>
      <c r="Q49" s="124">
        <f>SUM(Q27:Q47)</f>
        <v>15488</v>
      </c>
      <c r="R49" s="5"/>
      <c r="S49" s="99"/>
    </row>
    <row r="50" spans="1:19" s="27" customFormat="1" ht="16.5" customHeight="1">
      <c r="A50" s="83"/>
      <c r="B50" s="89"/>
      <c r="C50" s="29"/>
      <c r="D50" s="47"/>
      <c r="F50" s="57"/>
      <c r="G50" s="58"/>
      <c r="H50" s="114"/>
      <c r="I50" s="116"/>
      <c r="J50" s="50"/>
      <c r="K50" s="57"/>
      <c r="L50" s="58"/>
      <c r="M50" s="114"/>
      <c r="N50" s="116"/>
      <c r="O50" s="50"/>
      <c r="P50" s="45"/>
      <c r="Q50" s="122"/>
      <c r="R50" s="5"/>
      <c r="S50" s="99"/>
    </row>
    <row r="51" spans="1:19" s="43" customFormat="1" ht="16.5" customHeight="1" thickBot="1">
      <c r="A51" s="83"/>
      <c r="B51" s="88" t="s">
        <v>230</v>
      </c>
      <c r="C51" s="44"/>
      <c r="D51" s="52"/>
      <c r="F51" s="60">
        <f>F23-F49</f>
        <v>266</v>
      </c>
      <c r="G51" s="61">
        <f>G23-G49</f>
        <v>335</v>
      </c>
      <c r="H51" s="62">
        <f>F51-G51</f>
        <v>-69</v>
      </c>
      <c r="I51" s="54">
        <f>IF(G51&gt;0,H51/G51,"")</f>
        <v>-0.20597014925373133</v>
      </c>
      <c r="J51" s="50" t="str">
        <f>IF(I51="","",IF(I51&lt;0,"û","ü"))</f>
        <v>û</v>
      </c>
      <c r="K51" s="60">
        <f>K23-K49</f>
        <v>132</v>
      </c>
      <c r="L51" s="61">
        <f>L23-L49</f>
        <v>547</v>
      </c>
      <c r="M51" s="62">
        <f>K51-L51</f>
        <v>-415</v>
      </c>
      <c r="N51" s="54">
        <f>IF(L51&gt;0,M51/L51,"")</f>
        <v>-0.75868372943327245</v>
      </c>
      <c r="O51" s="50" t="str">
        <f>IF(N51="","",IF(N51&lt;0,"û","ü"))</f>
        <v>û</v>
      </c>
      <c r="P51" s="53"/>
      <c r="Q51" s="123">
        <f>Q23-Q49</f>
        <v>2208</v>
      </c>
      <c r="R51" s="9"/>
      <c r="S51" s="102"/>
    </row>
    <row r="52" spans="1:19" s="27" customFormat="1" ht="16.5" customHeight="1">
      <c r="A52" s="83"/>
      <c r="B52" s="89"/>
      <c r="C52" s="29"/>
      <c r="D52" s="5"/>
      <c r="E52" s="5"/>
      <c r="F52" s="66"/>
      <c r="G52" s="67"/>
      <c r="H52" s="117"/>
      <c r="I52" s="118"/>
      <c r="J52" s="5"/>
      <c r="K52" s="66"/>
      <c r="L52" s="67"/>
      <c r="M52" s="119"/>
      <c r="N52" s="118"/>
      <c r="P52" s="45"/>
      <c r="Q52" s="125"/>
      <c r="R52" s="5"/>
      <c r="S52" s="99"/>
    </row>
    <row r="53" spans="1:19" s="27" customFormat="1" ht="16.5" customHeight="1">
      <c r="A53" s="83"/>
      <c r="B53" s="89"/>
      <c r="C53" s="29"/>
      <c r="D53" s="5"/>
      <c r="E53" s="5"/>
      <c r="F53" s="47"/>
      <c r="G53" s="5"/>
      <c r="H53" s="47"/>
      <c r="I53" s="5"/>
      <c r="J53" s="5"/>
      <c r="K53" s="47"/>
      <c r="L53" s="5"/>
      <c r="M53" s="45"/>
      <c r="N53" s="5"/>
      <c r="O53" s="45"/>
      <c r="P53" s="45"/>
      <c r="Q53" s="5"/>
      <c r="R53" s="5"/>
      <c r="S53" s="99"/>
    </row>
    <row r="54" spans="1:19" s="27" customFormat="1" ht="16.5" customHeight="1" thickBot="1">
      <c r="A54" s="83"/>
      <c r="B54" s="88" t="s">
        <v>191</v>
      </c>
      <c r="C54" s="29"/>
      <c r="D54" s="5"/>
      <c r="E54" s="5"/>
      <c r="F54" s="47"/>
      <c r="G54" s="5"/>
      <c r="H54" s="47"/>
      <c r="I54" s="5"/>
      <c r="J54" s="5"/>
      <c r="K54" s="47"/>
      <c r="L54" s="5"/>
      <c r="M54" s="45"/>
      <c r="N54" s="5"/>
      <c r="O54" s="45"/>
      <c r="P54" s="45"/>
      <c r="Q54" s="5"/>
      <c r="R54" s="5"/>
      <c r="S54" s="99"/>
    </row>
    <row r="55" spans="1:19" s="27" customFormat="1" ht="16.5" customHeight="1">
      <c r="A55" s="83"/>
      <c r="B55" s="384" t="s">
        <v>168</v>
      </c>
      <c r="C55" s="385"/>
      <c r="D55" s="385"/>
      <c r="E55" s="385"/>
      <c r="F55" s="385"/>
      <c r="G55" s="385"/>
      <c r="H55" s="385"/>
      <c r="I55" s="385"/>
      <c r="J55" s="385"/>
      <c r="K55" s="385"/>
      <c r="L55" s="385"/>
      <c r="M55" s="385"/>
      <c r="N55" s="385"/>
      <c r="O55" s="385"/>
      <c r="P55" s="385"/>
      <c r="Q55" s="386"/>
      <c r="R55" s="5"/>
      <c r="S55" s="99"/>
    </row>
    <row r="56" spans="1:19" s="27" customFormat="1" ht="16.5" customHeight="1">
      <c r="A56" s="83"/>
      <c r="B56" s="381" t="s">
        <v>88</v>
      </c>
      <c r="C56" s="382"/>
      <c r="D56" s="382"/>
      <c r="E56" s="382"/>
      <c r="F56" s="382"/>
      <c r="G56" s="382"/>
      <c r="H56" s="382"/>
      <c r="I56" s="382"/>
      <c r="J56" s="382"/>
      <c r="K56" s="382"/>
      <c r="L56" s="382"/>
      <c r="M56" s="382"/>
      <c r="N56" s="382"/>
      <c r="O56" s="382"/>
      <c r="P56" s="382"/>
      <c r="Q56" s="383"/>
      <c r="R56" s="5"/>
      <c r="S56" s="99"/>
    </row>
    <row r="57" spans="1:19" s="27" customFormat="1" ht="16.5" customHeight="1">
      <c r="A57" s="83"/>
      <c r="B57" s="387"/>
      <c r="C57" s="388"/>
      <c r="D57" s="388"/>
      <c r="E57" s="388"/>
      <c r="F57" s="388"/>
      <c r="G57" s="388"/>
      <c r="H57" s="388"/>
      <c r="I57" s="388"/>
      <c r="J57" s="388"/>
      <c r="K57" s="388"/>
      <c r="L57" s="388"/>
      <c r="M57" s="388"/>
      <c r="N57" s="388"/>
      <c r="O57" s="388"/>
      <c r="P57" s="388"/>
      <c r="Q57" s="389"/>
      <c r="R57" s="5"/>
      <c r="S57" s="99"/>
    </row>
    <row r="58" spans="1:19" s="27" customFormat="1" ht="16.5" customHeight="1">
      <c r="A58" s="83"/>
      <c r="B58" s="387"/>
      <c r="C58" s="388"/>
      <c r="D58" s="388"/>
      <c r="E58" s="388"/>
      <c r="F58" s="388"/>
      <c r="G58" s="388"/>
      <c r="H58" s="388"/>
      <c r="I58" s="388"/>
      <c r="J58" s="388"/>
      <c r="K58" s="388"/>
      <c r="L58" s="388"/>
      <c r="M58" s="388"/>
      <c r="N58" s="388"/>
      <c r="O58" s="388"/>
      <c r="P58" s="388"/>
      <c r="Q58" s="389"/>
      <c r="R58" s="5"/>
      <c r="S58" s="99"/>
    </row>
    <row r="59" spans="1:19" s="27" customFormat="1" ht="16.5" customHeight="1">
      <c r="A59" s="83"/>
      <c r="B59" s="387"/>
      <c r="C59" s="388"/>
      <c r="D59" s="388"/>
      <c r="E59" s="388"/>
      <c r="F59" s="388"/>
      <c r="G59" s="388"/>
      <c r="H59" s="388"/>
      <c r="I59" s="388"/>
      <c r="J59" s="388"/>
      <c r="K59" s="388"/>
      <c r="L59" s="388"/>
      <c r="M59" s="388"/>
      <c r="N59" s="388"/>
      <c r="O59" s="388"/>
      <c r="P59" s="388"/>
      <c r="Q59" s="389"/>
      <c r="R59" s="5"/>
      <c r="S59" s="99"/>
    </row>
    <row r="60" spans="1:19" s="27" customFormat="1" ht="16.5" customHeight="1">
      <c r="A60" s="83"/>
      <c r="B60" s="387"/>
      <c r="C60" s="388"/>
      <c r="D60" s="388"/>
      <c r="E60" s="388"/>
      <c r="F60" s="388"/>
      <c r="G60" s="388"/>
      <c r="H60" s="388"/>
      <c r="I60" s="388"/>
      <c r="J60" s="388"/>
      <c r="K60" s="388"/>
      <c r="L60" s="388"/>
      <c r="M60" s="388"/>
      <c r="N60" s="388"/>
      <c r="O60" s="388"/>
      <c r="P60" s="388"/>
      <c r="Q60" s="389"/>
      <c r="R60" s="5"/>
      <c r="S60" s="99"/>
    </row>
    <row r="61" spans="1:19" s="27" customFormat="1" ht="16.5" customHeight="1">
      <c r="A61" s="83"/>
      <c r="B61" s="387"/>
      <c r="C61" s="388"/>
      <c r="D61" s="388"/>
      <c r="E61" s="388"/>
      <c r="F61" s="388"/>
      <c r="G61" s="388"/>
      <c r="H61" s="388"/>
      <c r="I61" s="388"/>
      <c r="J61" s="388"/>
      <c r="K61" s="388"/>
      <c r="L61" s="388"/>
      <c r="M61" s="388"/>
      <c r="N61" s="388"/>
      <c r="O61" s="388"/>
      <c r="P61" s="388"/>
      <c r="Q61" s="389"/>
      <c r="R61" s="5"/>
      <c r="S61" s="99"/>
    </row>
    <row r="62" spans="1:19" s="27" customFormat="1" ht="16.5" customHeight="1">
      <c r="A62" s="83"/>
      <c r="B62" s="387"/>
      <c r="C62" s="388"/>
      <c r="D62" s="388"/>
      <c r="E62" s="388"/>
      <c r="F62" s="388"/>
      <c r="G62" s="388"/>
      <c r="H62" s="388"/>
      <c r="I62" s="388"/>
      <c r="J62" s="388"/>
      <c r="K62" s="388"/>
      <c r="L62" s="388"/>
      <c r="M62" s="388"/>
      <c r="N62" s="388"/>
      <c r="O62" s="388"/>
      <c r="P62" s="388"/>
      <c r="Q62" s="389"/>
      <c r="R62" s="5"/>
      <c r="S62" s="99"/>
    </row>
    <row r="63" spans="1:19" s="27" customFormat="1" ht="16.5" customHeight="1">
      <c r="A63" s="83"/>
      <c r="B63" s="387"/>
      <c r="C63" s="388"/>
      <c r="D63" s="388"/>
      <c r="E63" s="388"/>
      <c r="F63" s="388"/>
      <c r="G63" s="388"/>
      <c r="H63" s="388"/>
      <c r="I63" s="388"/>
      <c r="J63" s="388"/>
      <c r="K63" s="388"/>
      <c r="L63" s="388"/>
      <c r="M63" s="388"/>
      <c r="N63" s="388"/>
      <c r="O63" s="388"/>
      <c r="P63" s="388"/>
      <c r="Q63" s="389"/>
      <c r="R63" s="5"/>
      <c r="S63" s="99"/>
    </row>
    <row r="64" spans="1:19" s="27" customFormat="1" ht="16.5" customHeight="1">
      <c r="A64" s="83"/>
      <c r="B64" s="387"/>
      <c r="C64" s="388"/>
      <c r="D64" s="388"/>
      <c r="E64" s="388"/>
      <c r="F64" s="388"/>
      <c r="G64" s="388"/>
      <c r="H64" s="388"/>
      <c r="I64" s="388"/>
      <c r="J64" s="388"/>
      <c r="K64" s="388"/>
      <c r="L64" s="388"/>
      <c r="M64" s="388"/>
      <c r="N64" s="388"/>
      <c r="O64" s="388"/>
      <c r="P64" s="388"/>
      <c r="Q64" s="389"/>
      <c r="R64" s="5"/>
      <c r="S64" s="99"/>
    </row>
    <row r="65" spans="1:19" s="27" customFormat="1" ht="16.5" customHeight="1" thickBot="1">
      <c r="A65" s="83"/>
      <c r="B65" s="375"/>
      <c r="C65" s="376"/>
      <c r="D65" s="376"/>
      <c r="E65" s="376"/>
      <c r="F65" s="376"/>
      <c r="G65" s="376"/>
      <c r="H65" s="376"/>
      <c r="I65" s="376"/>
      <c r="J65" s="376"/>
      <c r="K65" s="376"/>
      <c r="L65" s="376"/>
      <c r="M65" s="376"/>
      <c r="N65" s="376"/>
      <c r="O65" s="376"/>
      <c r="P65" s="376"/>
      <c r="Q65" s="377"/>
      <c r="R65" s="5"/>
      <c r="S65" s="99"/>
    </row>
    <row r="66" spans="1:19" s="27" customFormat="1" ht="16.5" customHeight="1">
      <c r="A66" s="83"/>
      <c r="B66" s="148"/>
      <c r="C66" s="148"/>
      <c r="D66" s="148"/>
      <c r="E66" s="148"/>
      <c r="F66" s="148"/>
      <c r="G66" s="148"/>
      <c r="H66" s="148"/>
      <c r="I66" s="148"/>
      <c r="J66" s="148"/>
      <c r="K66" s="148"/>
      <c r="L66" s="148"/>
      <c r="M66" s="148"/>
      <c r="N66" s="148"/>
      <c r="O66" s="148"/>
      <c r="P66" s="148"/>
      <c r="Q66" s="148"/>
      <c r="R66" s="5"/>
      <c r="S66" s="99"/>
    </row>
    <row r="67" spans="1:19" s="27" customFormat="1" ht="16.5" customHeight="1">
      <c r="A67" s="83"/>
      <c r="B67" s="148"/>
      <c r="C67" s="148"/>
      <c r="D67" s="148"/>
      <c r="E67" s="148"/>
      <c r="F67" s="148"/>
      <c r="G67" s="148"/>
      <c r="H67" s="148"/>
      <c r="I67" s="148"/>
      <c r="J67" s="148"/>
      <c r="K67" s="148"/>
      <c r="L67" s="148"/>
      <c r="M67" s="148"/>
      <c r="N67" s="148"/>
      <c r="O67" s="148"/>
      <c r="P67" s="148"/>
      <c r="Q67" s="148"/>
      <c r="R67" s="5"/>
      <c r="S67" s="99"/>
    </row>
    <row r="68" spans="1:19" s="27" customFormat="1" ht="16.5" customHeight="1">
      <c r="A68" s="83"/>
      <c r="B68" s="148"/>
      <c r="C68" s="148"/>
      <c r="D68" s="148"/>
      <c r="E68" s="148"/>
      <c r="F68" s="148"/>
      <c r="G68" s="148"/>
      <c r="H68" s="148"/>
      <c r="I68" s="148"/>
      <c r="J68" s="148"/>
      <c r="K68" s="148"/>
      <c r="L68" s="148"/>
      <c r="M68" s="148"/>
      <c r="N68" s="148"/>
      <c r="O68" s="148"/>
      <c r="P68" s="148"/>
      <c r="Q68" s="148"/>
      <c r="R68" s="5"/>
      <c r="S68" s="99"/>
    </row>
    <row r="69" spans="1:19" s="27" customFormat="1" ht="16.5" customHeight="1">
      <c r="A69" s="83"/>
      <c r="B69" s="148"/>
      <c r="C69" s="148"/>
      <c r="D69" s="148"/>
      <c r="E69" s="148"/>
      <c r="F69" s="148"/>
      <c r="G69" s="148"/>
      <c r="H69" s="148"/>
      <c r="I69" s="148"/>
      <c r="J69" s="148"/>
      <c r="K69" s="148"/>
      <c r="L69" s="148"/>
      <c r="M69" s="148"/>
      <c r="N69" s="148"/>
      <c r="O69" s="148"/>
      <c r="P69" s="148"/>
      <c r="Q69" s="148"/>
      <c r="R69" s="5"/>
      <c r="S69" s="99"/>
    </row>
    <row r="70" spans="1:19" s="27" customFormat="1" ht="16.5" customHeight="1">
      <c r="A70" s="83"/>
      <c r="B70" s="148"/>
      <c r="C70" s="148"/>
      <c r="D70" s="148"/>
      <c r="E70" s="148"/>
      <c r="F70" s="148"/>
      <c r="G70" s="148"/>
      <c r="H70" s="148"/>
      <c r="I70" s="148"/>
      <c r="J70" s="148"/>
      <c r="K70" s="148"/>
      <c r="L70" s="148"/>
      <c r="M70" s="148"/>
      <c r="N70" s="148"/>
      <c r="O70" s="148"/>
      <c r="P70" s="148"/>
      <c r="Q70" s="148"/>
      <c r="R70" s="5"/>
      <c r="S70" s="99"/>
    </row>
    <row r="71" spans="1:19" s="27" customFormat="1" ht="16.5" customHeight="1">
      <c r="A71" s="83"/>
      <c r="B71" s="148"/>
      <c r="C71" s="148"/>
      <c r="D71" s="148"/>
      <c r="E71" s="148"/>
      <c r="F71" s="148"/>
      <c r="G71" s="148"/>
      <c r="H71" s="148"/>
      <c r="I71" s="148"/>
      <c r="J71" s="148"/>
      <c r="K71" s="148"/>
      <c r="L71" s="148"/>
      <c r="M71" s="148"/>
      <c r="N71" s="148"/>
      <c r="O71" s="148"/>
      <c r="P71" s="148"/>
      <c r="Q71" s="148"/>
      <c r="R71" s="5"/>
      <c r="S71" s="99"/>
    </row>
    <row r="72" spans="1:19" s="27" customFormat="1" ht="16.5" customHeight="1">
      <c r="A72" s="83"/>
      <c r="B72" s="148"/>
      <c r="C72" s="148"/>
      <c r="D72" s="148"/>
      <c r="E72" s="148"/>
      <c r="F72" s="148"/>
      <c r="G72" s="148"/>
      <c r="H72" s="148"/>
      <c r="I72" s="148"/>
      <c r="J72" s="148"/>
      <c r="K72" s="148"/>
      <c r="L72" s="148"/>
      <c r="M72" s="148"/>
      <c r="N72" s="148"/>
      <c r="O72" s="148"/>
      <c r="P72" s="148"/>
      <c r="Q72" s="148"/>
      <c r="R72" s="5"/>
      <c r="S72" s="99"/>
    </row>
    <row r="73" spans="1:19" s="27" customFormat="1" ht="16.5" customHeight="1">
      <c r="A73" s="83"/>
      <c r="B73" s="148"/>
      <c r="C73" s="148"/>
      <c r="D73" s="148"/>
      <c r="E73" s="148"/>
      <c r="F73" s="148"/>
      <c r="G73" s="148"/>
      <c r="H73" s="148"/>
      <c r="I73" s="148"/>
      <c r="J73" s="148"/>
      <c r="K73" s="148"/>
      <c r="L73" s="148"/>
      <c r="M73" s="148"/>
      <c r="N73" s="148"/>
      <c r="O73" s="148"/>
      <c r="P73" s="148"/>
      <c r="Q73" s="148"/>
      <c r="R73" s="5"/>
      <c r="S73" s="99"/>
    </row>
    <row r="74" spans="1:19" s="27" customFormat="1" ht="16.5" customHeight="1">
      <c r="A74" s="83"/>
      <c r="B74" s="148"/>
      <c r="C74" s="148"/>
      <c r="D74" s="148"/>
      <c r="E74" s="148"/>
      <c r="F74" s="148"/>
      <c r="G74" s="148"/>
      <c r="H74" s="148"/>
      <c r="I74" s="148"/>
      <c r="J74" s="148"/>
      <c r="K74" s="148"/>
      <c r="L74" s="148"/>
      <c r="M74" s="148"/>
      <c r="N74" s="148"/>
      <c r="O74" s="148"/>
      <c r="P74" s="148"/>
      <c r="Q74" s="148"/>
      <c r="R74" s="5"/>
      <c r="S74" s="99"/>
    </row>
    <row r="75" spans="1:19" s="27" customFormat="1" ht="16.5" customHeight="1">
      <c r="A75" s="83"/>
      <c r="B75" s="148"/>
      <c r="C75" s="148"/>
      <c r="D75" s="148"/>
      <c r="E75" s="148"/>
      <c r="F75" s="148"/>
      <c r="G75" s="148"/>
      <c r="H75" s="148"/>
      <c r="I75" s="148"/>
      <c r="J75" s="148"/>
      <c r="K75" s="148"/>
      <c r="L75" s="148"/>
      <c r="M75" s="148"/>
      <c r="N75" s="148"/>
      <c r="O75" s="148"/>
      <c r="P75" s="148"/>
      <c r="Q75" s="148"/>
      <c r="R75" s="5"/>
      <c r="S75" s="99"/>
    </row>
    <row r="76" spans="1:19" s="27" customFormat="1" ht="16.5" customHeight="1">
      <c r="A76" s="83"/>
      <c r="B76" s="148"/>
      <c r="C76" s="148"/>
      <c r="D76" s="148"/>
      <c r="E76" s="148"/>
      <c r="F76" s="148"/>
      <c r="G76" s="148"/>
      <c r="H76" s="148"/>
      <c r="I76" s="148"/>
      <c r="J76" s="148"/>
      <c r="K76" s="148"/>
      <c r="L76" s="148"/>
      <c r="M76" s="148"/>
      <c r="N76" s="148"/>
      <c r="O76" s="148"/>
      <c r="P76" s="148"/>
      <c r="Q76" s="148"/>
      <c r="R76" s="5"/>
      <c r="S76" s="99"/>
    </row>
    <row r="77" spans="1:19" s="27" customFormat="1" ht="16.5" customHeight="1">
      <c r="A77" s="83"/>
      <c r="B77" s="148"/>
      <c r="C77" s="148"/>
      <c r="D77" s="148"/>
      <c r="E77" s="148"/>
      <c r="F77" s="148"/>
      <c r="G77" s="148"/>
      <c r="H77" s="148"/>
      <c r="I77" s="148"/>
      <c r="J77" s="148"/>
      <c r="K77" s="148"/>
      <c r="L77" s="148"/>
      <c r="M77" s="148"/>
      <c r="N77" s="148"/>
      <c r="O77" s="148"/>
      <c r="P77" s="148"/>
      <c r="Q77" s="148"/>
      <c r="R77" s="5"/>
      <c r="S77" s="99"/>
    </row>
    <row r="78" spans="1:19" s="27" customFormat="1" ht="16.5" customHeight="1">
      <c r="A78" s="83"/>
      <c r="B78" s="148"/>
      <c r="C78" s="148"/>
      <c r="D78" s="148"/>
      <c r="E78" s="148"/>
      <c r="F78" s="148"/>
      <c r="G78" s="148"/>
      <c r="H78" s="148"/>
      <c r="I78" s="148"/>
      <c r="J78" s="148"/>
      <c r="K78" s="148"/>
      <c r="L78" s="148"/>
      <c r="M78" s="148"/>
      <c r="N78" s="148"/>
      <c r="O78" s="148"/>
      <c r="P78" s="148"/>
      <c r="Q78" s="148"/>
      <c r="R78" s="5"/>
      <c r="S78" s="99"/>
    </row>
    <row r="79" spans="1:19" s="27" customFormat="1" ht="16.5" customHeight="1">
      <c r="A79" s="83"/>
      <c r="B79" s="148"/>
      <c r="C79" s="148"/>
      <c r="D79" s="148"/>
      <c r="E79" s="148"/>
      <c r="F79" s="148"/>
      <c r="G79" s="148"/>
      <c r="H79" s="148"/>
      <c r="I79" s="148"/>
      <c r="J79" s="148"/>
      <c r="K79" s="148"/>
      <c r="L79" s="148"/>
      <c r="M79" s="148"/>
      <c r="N79" s="148"/>
      <c r="O79" s="148"/>
      <c r="P79" s="148"/>
      <c r="Q79" s="148"/>
      <c r="R79" s="5"/>
      <c r="S79" s="99"/>
    </row>
    <row r="80" spans="1:19" s="27" customFormat="1" ht="16.5" customHeight="1">
      <c r="A80" s="83"/>
      <c r="B80" s="148"/>
      <c r="C80" s="148"/>
      <c r="D80" s="148"/>
      <c r="E80" s="148"/>
      <c r="F80" s="148"/>
      <c r="G80" s="148"/>
      <c r="H80" s="148"/>
      <c r="I80" s="148"/>
      <c r="J80" s="148"/>
      <c r="K80" s="148"/>
      <c r="L80" s="148"/>
      <c r="M80" s="148"/>
      <c r="N80" s="148"/>
      <c r="O80" s="148"/>
      <c r="P80" s="148"/>
      <c r="Q80" s="148"/>
      <c r="R80" s="5"/>
      <c r="S80" s="99"/>
    </row>
    <row r="81" spans="1:19" s="27" customFormat="1" ht="16.5" customHeight="1">
      <c r="A81" s="83"/>
      <c r="B81" s="148"/>
      <c r="C81" s="148"/>
      <c r="D81" s="148"/>
      <c r="E81" s="148"/>
      <c r="F81" s="148"/>
      <c r="G81" s="148"/>
      <c r="H81" s="148"/>
      <c r="I81" s="148"/>
      <c r="J81" s="148"/>
      <c r="K81" s="148"/>
      <c r="L81" s="148"/>
      <c r="M81" s="148"/>
      <c r="N81" s="148"/>
      <c r="O81" s="148"/>
      <c r="P81" s="148"/>
      <c r="Q81" s="148"/>
      <c r="R81" s="5"/>
      <c r="S81" s="99"/>
    </row>
    <row r="82" spans="1:19" s="27" customFormat="1" ht="16.5" customHeight="1">
      <c r="A82" s="83"/>
      <c r="B82" s="148"/>
      <c r="C82" s="148"/>
      <c r="D82" s="148"/>
      <c r="E82" s="148"/>
      <c r="F82" s="148"/>
      <c r="G82" s="148"/>
      <c r="H82" s="148"/>
      <c r="I82" s="148"/>
      <c r="J82" s="148"/>
      <c r="K82" s="148"/>
      <c r="L82" s="148"/>
      <c r="M82" s="148"/>
      <c r="N82" s="148"/>
      <c r="O82" s="148"/>
      <c r="P82" s="148"/>
      <c r="Q82" s="148"/>
      <c r="R82" s="5"/>
      <c r="S82" s="99"/>
    </row>
    <row r="83" spans="1:19" s="27" customFormat="1" ht="16.5" customHeight="1">
      <c r="A83" s="83"/>
      <c r="B83" s="148"/>
      <c r="C83" s="148"/>
      <c r="D83" s="148"/>
      <c r="E83" s="148"/>
      <c r="F83" s="148"/>
      <c r="G83" s="148"/>
      <c r="H83" s="148"/>
      <c r="I83" s="148"/>
      <c r="J83" s="148"/>
      <c r="K83" s="148"/>
      <c r="L83" s="148"/>
      <c r="M83" s="148"/>
      <c r="N83" s="148"/>
      <c r="O83" s="148"/>
      <c r="P83" s="148"/>
      <c r="Q83" s="148"/>
      <c r="R83" s="5"/>
      <c r="S83" s="99"/>
    </row>
    <row r="84" spans="1:19" s="27" customFormat="1" ht="16.5" customHeight="1">
      <c r="A84" s="83"/>
      <c r="B84" s="148"/>
      <c r="C84" s="148"/>
      <c r="D84" s="148"/>
      <c r="E84" s="148"/>
      <c r="F84" s="148"/>
      <c r="G84" s="148"/>
      <c r="H84" s="148"/>
      <c r="I84" s="148"/>
      <c r="J84" s="148"/>
      <c r="K84" s="148"/>
      <c r="L84" s="148"/>
      <c r="M84" s="148"/>
      <c r="N84" s="148"/>
      <c r="O84" s="148"/>
      <c r="P84" s="148"/>
      <c r="Q84" s="148"/>
      <c r="R84" s="5"/>
      <c r="S84" s="99"/>
    </row>
    <row r="85" spans="1:19" s="27" customFormat="1" ht="16.5" customHeight="1">
      <c r="A85" s="83"/>
      <c r="B85" s="148"/>
      <c r="C85" s="148"/>
      <c r="D85" s="148"/>
      <c r="E85" s="148"/>
      <c r="F85" s="148"/>
      <c r="G85" s="148"/>
      <c r="H85" s="148"/>
      <c r="I85" s="148"/>
      <c r="J85" s="148"/>
      <c r="K85" s="148"/>
      <c r="L85" s="148"/>
      <c r="M85" s="148"/>
      <c r="N85" s="148"/>
      <c r="O85" s="148"/>
      <c r="P85" s="148"/>
      <c r="Q85" s="148"/>
      <c r="R85" s="5"/>
      <c r="S85" s="99"/>
    </row>
    <row r="86" spans="1:19" s="27" customFormat="1" ht="16.5" customHeight="1">
      <c r="A86" s="83"/>
      <c r="B86" s="148"/>
      <c r="C86" s="148"/>
      <c r="D86" s="148"/>
      <c r="E86" s="148"/>
      <c r="F86" s="148"/>
      <c r="G86" s="148"/>
      <c r="H86" s="148"/>
      <c r="I86" s="148"/>
      <c r="J86" s="148"/>
      <c r="K86" s="148"/>
      <c r="L86" s="148"/>
      <c r="M86" s="148"/>
      <c r="N86" s="148"/>
      <c r="O86" s="148"/>
      <c r="P86" s="148"/>
      <c r="Q86" s="148"/>
      <c r="R86" s="5"/>
      <c r="S86" s="99"/>
    </row>
    <row r="87" spans="1:19" s="27" customFormat="1" ht="16.5" customHeight="1">
      <c r="A87" s="83"/>
      <c r="B87" s="148"/>
      <c r="C87" s="148"/>
      <c r="D87" s="148"/>
      <c r="E87" s="148"/>
      <c r="F87" s="148"/>
      <c r="G87" s="148"/>
      <c r="H87" s="148"/>
      <c r="I87" s="148"/>
      <c r="J87" s="148"/>
      <c r="K87" s="148"/>
      <c r="L87" s="148"/>
      <c r="M87" s="148"/>
      <c r="N87" s="148"/>
      <c r="O87" s="148"/>
      <c r="P87" s="148"/>
      <c r="Q87" s="148"/>
      <c r="R87" s="5"/>
      <c r="S87" s="99"/>
    </row>
    <row r="88" spans="1:19" s="27" customFormat="1" ht="16.5" customHeight="1">
      <c r="A88" s="83"/>
      <c r="B88" s="148"/>
      <c r="C88" s="148"/>
      <c r="D88" s="148"/>
      <c r="E88" s="148"/>
      <c r="F88" s="148"/>
      <c r="G88" s="148"/>
      <c r="H88" s="148"/>
      <c r="I88" s="148"/>
      <c r="J88" s="148"/>
      <c r="K88" s="148"/>
      <c r="L88" s="148"/>
      <c r="M88" s="148"/>
      <c r="N88" s="148"/>
      <c r="O88" s="148"/>
      <c r="P88" s="148"/>
      <c r="Q88" s="148"/>
      <c r="R88" s="5"/>
      <c r="S88" s="99"/>
    </row>
    <row r="89" spans="1:19" s="27" customFormat="1" ht="16.5" customHeight="1">
      <c r="A89" s="83"/>
      <c r="B89" s="148"/>
      <c r="C89" s="148"/>
      <c r="D89" s="148"/>
      <c r="E89" s="148"/>
      <c r="F89" s="148"/>
      <c r="G89" s="148"/>
      <c r="H89" s="148"/>
      <c r="I89" s="148"/>
      <c r="J89" s="148"/>
      <c r="K89" s="148"/>
      <c r="L89" s="148"/>
      <c r="M89" s="148"/>
      <c r="N89" s="148"/>
      <c r="O89" s="148"/>
      <c r="P89" s="148"/>
      <c r="Q89" s="148"/>
      <c r="R89" s="5"/>
      <c r="S89" s="99"/>
    </row>
    <row r="90" spans="1:19" s="27" customFormat="1" ht="16.5" customHeight="1">
      <c r="A90" s="83"/>
      <c r="B90" s="148"/>
      <c r="C90" s="148"/>
      <c r="D90" s="148"/>
      <c r="E90" s="148"/>
      <c r="F90" s="148"/>
      <c r="G90" s="148"/>
      <c r="H90" s="148"/>
      <c r="I90" s="148"/>
      <c r="J90" s="148"/>
      <c r="K90" s="148"/>
      <c r="L90" s="148"/>
      <c r="M90" s="148"/>
      <c r="N90" s="148"/>
      <c r="O90" s="148"/>
      <c r="P90" s="148"/>
      <c r="Q90" s="148"/>
      <c r="R90" s="5"/>
      <c r="S90" s="99"/>
    </row>
    <row r="91" spans="1:19" s="27" customFormat="1" ht="16.5" customHeight="1">
      <c r="A91" s="83"/>
      <c r="B91" s="148"/>
      <c r="C91" s="148"/>
      <c r="D91" s="148"/>
      <c r="E91" s="148"/>
      <c r="F91" s="148"/>
      <c r="G91" s="148"/>
      <c r="H91" s="148"/>
      <c r="I91" s="148"/>
      <c r="J91" s="148"/>
      <c r="K91" s="148"/>
      <c r="L91" s="148"/>
      <c r="M91" s="148"/>
      <c r="N91" s="148"/>
      <c r="O91" s="148"/>
      <c r="P91" s="148"/>
      <c r="Q91" s="148"/>
      <c r="R91" s="5"/>
      <c r="S91" s="99"/>
    </row>
    <row r="92" spans="1:19" s="27" customFormat="1" ht="16.5" customHeight="1">
      <c r="A92" s="83"/>
      <c r="B92" s="148"/>
      <c r="C92" s="148"/>
      <c r="D92" s="148"/>
      <c r="E92" s="148"/>
      <c r="F92" s="148"/>
      <c r="G92" s="148"/>
      <c r="H92" s="148"/>
      <c r="I92" s="148"/>
      <c r="J92" s="148"/>
      <c r="K92" s="148"/>
      <c r="L92" s="148"/>
      <c r="M92" s="148"/>
      <c r="N92" s="148"/>
      <c r="O92" s="148"/>
      <c r="P92" s="148"/>
      <c r="Q92" s="148"/>
      <c r="R92" s="5"/>
      <c r="S92" s="99"/>
    </row>
    <row r="93" spans="1:19" s="27" customFormat="1" ht="16.5" customHeight="1">
      <c r="A93" s="83"/>
      <c r="B93" s="148"/>
      <c r="C93" s="148"/>
      <c r="D93" s="148"/>
      <c r="E93" s="148"/>
      <c r="F93" s="148"/>
      <c r="G93" s="148"/>
      <c r="H93" s="148"/>
      <c r="I93" s="148"/>
      <c r="J93" s="148"/>
      <c r="K93" s="148"/>
      <c r="L93" s="148"/>
      <c r="M93" s="148"/>
      <c r="N93" s="148"/>
      <c r="O93" s="148"/>
      <c r="P93" s="148"/>
      <c r="Q93" s="148"/>
      <c r="R93" s="5"/>
      <c r="S93" s="99"/>
    </row>
    <row r="94" spans="1:19" s="27" customFormat="1" ht="16.5" customHeight="1">
      <c r="A94" s="83"/>
      <c r="B94" s="148"/>
      <c r="C94" s="148"/>
      <c r="D94" s="148"/>
      <c r="E94" s="148"/>
      <c r="F94" s="148"/>
      <c r="G94" s="148"/>
      <c r="H94" s="148"/>
      <c r="I94" s="148"/>
      <c r="J94" s="148"/>
      <c r="K94" s="148"/>
      <c r="L94" s="148"/>
      <c r="M94" s="148"/>
      <c r="N94" s="148"/>
      <c r="O94" s="148"/>
      <c r="P94" s="148"/>
      <c r="Q94" s="148"/>
      <c r="R94" s="5"/>
      <c r="S94" s="99"/>
    </row>
    <row r="95" spans="1:19" s="27" customFormat="1" ht="16.5" customHeight="1">
      <c r="A95" s="83"/>
      <c r="B95" s="148"/>
      <c r="C95" s="148"/>
      <c r="D95" s="148"/>
      <c r="E95" s="148"/>
      <c r="F95" s="148"/>
      <c r="G95" s="148"/>
      <c r="H95" s="148"/>
      <c r="I95" s="148"/>
      <c r="J95" s="148"/>
      <c r="K95" s="148"/>
      <c r="L95" s="148"/>
      <c r="M95" s="148"/>
      <c r="N95" s="148"/>
      <c r="O95" s="148"/>
      <c r="P95" s="148"/>
      <c r="Q95" s="148"/>
      <c r="R95" s="5"/>
      <c r="S95" s="99"/>
    </row>
    <row r="96" spans="1:19" s="27" customFormat="1" ht="16.5" customHeight="1">
      <c r="A96" s="83"/>
      <c r="B96" s="148"/>
      <c r="C96" s="148"/>
      <c r="D96" s="148"/>
      <c r="E96" s="148"/>
      <c r="F96" s="148"/>
      <c r="G96" s="148"/>
      <c r="H96" s="148"/>
      <c r="I96" s="148"/>
      <c r="J96" s="148"/>
      <c r="K96" s="148"/>
      <c r="L96" s="148"/>
      <c r="M96" s="148"/>
      <c r="N96" s="148"/>
      <c r="O96" s="148"/>
      <c r="P96" s="148"/>
      <c r="Q96" s="148"/>
      <c r="R96" s="5"/>
      <c r="S96" s="99"/>
    </row>
    <row r="97" spans="1:19" s="27" customFormat="1" ht="16.5" customHeight="1">
      <c r="A97" s="83"/>
      <c r="B97" s="148"/>
      <c r="C97" s="148"/>
      <c r="D97" s="148"/>
      <c r="E97" s="148"/>
      <c r="F97" s="148"/>
      <c r="G97" s="148"/>
      <c r="H97" s="148"/>
      <c r="I97" s="148"/>
      <c r="J97" s="148"/>
      <c r="K97" s="148"/>
      <c r="L97" s="148"/>
      <c r="M97" s="148"/>
      <c r="N97" s="148"/>
      <c r="O97" s="148"/>
      <c r="P97" s="148"/>
      <c r="Q97" s="148"/>
      <c r="R97" s="5"/>
      <c r="S97" s="99"/>
    </row>
    <row r="98" spans="1:19" s="27" customFormat="1" ht="16.5" customHeight="1">
      <c r="A98" s="83"/>
      <c r="B98" s="148"/>
      <c r="C98" s="148"/>
      <c r="D98" s="148"/>
      <c r="E98" s="148"/>
      <c r="F98" s="148"/>
      <c r="G98" s="148"/>
      <c r="H98" s="148"/>
      <c r="I98" s="148"/>
      <c r="J98" s="148"/>
      <c r="K98" s="148"/>
      <c r="L98" s="148"/>
      <c r="M98" s="148"/>
      <c r="N98" s="148"/>
      <c r="O98" s="148"/>
      <c r="P98" s="148"/>
      <c r="Q98" s="148"/>
      <c r="R98" s="5"/>
      <c r="S98" s="99"/>
    </row>
    <row r="99" spans="1:19" s="27" customFormat="1" ht="16.5" customHeight="1">
      <c r="A99" s="83"/>
      <c r="B99" s="148"/>
      <c r="C99" s="148"/>
      <c r="D99" s="148"/>
      <c r="E99" s="148"/>
      <c r="F99" s="148"/>
      <c r="G99" s="148"/>
      <c r="H99" s="148"/>
      <c r="I99" s="148"/>
      <c r="J99" s="148"/>
      <c r="K99" s="148"/>
      <c r="L99" s="148"/>
      <c r="M99" s="148"/>
      <c r="N99" s="148"/>
      <c r="O99" s="148"/>
      <c r="P99" s="148"/>
      <c r="Q99" s="148"/>
      <c r="R99" s="5"/>
      <c r="S99" s="99"/>
    </row>
    <row r="100" spans="1:19" s="27" customFormat="1" ht="16.5" customHeight="1">
      <c r="A100" s="83"/>
      <c r="B100" s="148"/>
      <c r="C100" s="148"/>
      <c r="D100" s="148"/>
      <c r="E100" s="148"/>
      <c r="F100" s="148"/>
      <c r="G100" s="148"/>
      <c r="H100" s="148"/>
      <c r="I100" s="148"/>
      <c r="J100" s="148"/>
      <c r="K100" s="148"/>
      <c r="L100" s="148"/>
      <c r="M100" s="148"/>
      <c r="N100" s="148"/>
      <c r="O100" s="148"/>
      <c r="P100" s="148"/>
      <c r="Q100" s="148"/>
      <c r="R100" s="5"/>
      <c r="S100" s="99"/>
    </row>
    <row r="101" spans="1:19" s="27" customFormat="1" ht="16.5" customHeight="1">
      <c r="A101" s="83"/>
      <c r="B101" s="148"/>
      <c r="C101" s="148"/>
      <c r="D101" s="148"/>
      <c r="E101" s="148"/>
      <c r="F101" s="148"/>
      <c r="G101" s="148"/>
      <c r="H101" s="148"/>
      <c r="I101" s="148"/>
      <c r="J101" s="148"/>
      <c r="K101" s="148"/>
      <c r="L101" s="148"/>
      <c r="M101" s="148"/>
      <c r="N101" s="148"/>
      <c r="O101" s="148"/>
      <c r="P101" s="148"/>
      <c r="Q101" s="148"/>
      <c r="R101" s="5"/>
      <c r="S101" s="99"/>
    </row>
    <row r="102" spans="1:19" s="27" customFormat="1" ht="16.5" customHeight="1">
      <c r="A102" s="83"/>
      <c r="B102" s="148"/>
      <c r="C102" s="148"/>
      <c r="D102" s="148"/>
      <c r="E102" s="148"/>
      <c r="F102" s="148"/>
      <c r="G102" s="148"/>
      <c r="H102" s="148"/>
      <c r="I102" s="148"/>
      <c r="J102" s="148"/>
      <c r="K102" s="148"/>
      <c r="L102" s="148"/>
      <c r="M102" s="148"/>
      <c r="N102" s="148"/>
      <c r="O102" s="148"/>
      <c r="P102" s="148"/>
      <c r="Q102" s="148"/>
      <c r="R102" s="5"/>
      <c r="S102" s="99"/>
    </row>
    <row r="103" spans="1:19" s="27" customFormat="1" ht="16.5" customHeight="1">
      <c r="A103" s="83"/>
      <c r="B103" s="148"/>
      <c r="C103" s="148"/>
      <c r="D103" s="148"/>
      <c r="E103" s="148"/>
      <c r="F103" s="148"/>
      <c r="G103" s="148"/>
      <c r="H103" s="148"/>
      <c r="I103" s="148"/>
      <c r="J103" s="148"/>
      <c r="K103" s="148"/>
      <c r="L103" s="148"/>
      <c r="M103" s="148"/>
      <c r="N103" s="148"/>
      <c r="O103" s="148"/>
      <c r="P103" s="148"/>
      <c r="Q103" s="148"/>
      <c r="R103" s="5"/>
      <c r="S103" s="99"/>
    </row>
    <row r="104" spans="1:19" s="27" customFormat="1" ht="16.5" customHeight="1">
      <c r="A104" s="83"/>
      <c r="B104" s="148"/>
      <c r="C104" s="148"/>
      <c r="D104" s="148"/>
      <c r="E104" s="148"/>
      <c r="F104" s="148"/>
      <c r="G104" s="148"/>
      <c r="H104" s="148"/>
      <c r="I104" s="148"/>
      <c r="J104" s="148"/>
      <c r="K104" s="148"/>
      <c r="L104" s="148"/>
      <c r="M104" s="148"/>
      <c r="N104" s="148"/>
      <c r="O104" s="148"/>
      <c r="P104" s="148"/>
      <c r="Q104" s="148"/>
      <c r="R104" s="5"/>
      <c r="S104" s="99"/>
    </row>
    <row r="105" spans="1:19" s="27" customFormat="1" ht="16.5" customHeight="1">
      <c r="A105" s="83"/>
      <c r="B105" s="148"/>
      <c r="C105" s="148"/>
      <c r="D105" s="148"/>
      <c r="E105" s="148"/>
      <c r="F105" s="148"/>
      <c r="G105" s="148"/>
      <c r="H105" s="148"/>
      <c r="I105" s="148"/>
      <c r="J105" s="148"/>
      <c r="K105" s="148"/>
      <c r="L105" s="148"/>
      <c r="M105" s="148"/>
      <c r="N105" s="148"/>
      <c r="O105" s="148"/>
      <c r="P105" s="148"/>
      <c r="Q105" s="148"/>
      <c r="R105" s="5"/>
      <c r="S105" s="99"/>
    </row>
    <row r="106" spans="1:19" s="27" customFormat="1" ht="16.5" customHeight="1">
      <c r="A106" s="83"/>
      <c r="B106" s="148"/>
      <c r="C106" s="148"/>
      <c r="D106" s="148"/>
      <c r="E106" s="148"/>
      <c r="F106" s="148"/>
      <c r="G106" s="148"/>
      <c r="H106" s="148"/>
      <c r="I106" s="148"/>
      <c r="J106" s="148"/>
      <c r="K106" s="148"/>
      <c r="L106" s="148"/>
      <c r="M106" s="148"/>
      <c r="N106" s="148"/>
      <c r="O106" s="148"/>
      <c r="P106" s="148"/>
      <c r="Q106" s="148"/>
      <c r="R106" s="5"/>
      <c r="S106" s="99"/>
    </row>
    <row r="107" spans="1:19" s="27" customFormat="1" ht="16.5" customHeight="1">
      <c r="A107" s="83"/>
      <c r="B107" s="187"/>
      <c r="C107" s="187"/>
      <c r="D107" s="187"/>
      <c r="E107" s="187"/>
      <c r="F107" s="187"/>
      <c r="G107" s="187"/>
      <c r="H107" s="187"/>
      <c r="I107" s="187"/>
      <c r="J107" s="187"/>
      <c r="K107" s="187"/>
      <c r="L107" s="187"/>
      <c r="M107" s="187"/>
      <c r="N107" s="187"/>
      <c r="O107" s="187"/>
      <c r="P107" s="187"/>
      <c r="Q107" s="187"/>
      <c r="R107" s="5"/>
      <c r="S107" s="99"/>
    </row>
    <row r="108" spans="1:19" s="27" customFormat="1" ht="16.5" customHeight="1">
      <c r="A108" s="83"/>
      <c r="B108" s="148"/>
      <c r="C108" s="148"/>
      <c r="D108" s="148"/>
      <c r="E108" s="148"/>
      <c r="F108" s="148"/>
      <c r="G108" s="148"/>
      <c r="H108" s="148"/>
      <c r="I108" s="148"/>
      <c r="J108" s="148"/>
      <c r="K108" s="148"/>
      <c r="L108" s="148"/>
      <c r="M108" s="148"/>
      <c r="N108" s="148"/>
      <c r="O108" s="148"/>
      <c r="P108" s="148"/>
      <c r="Q108" s="148"/>
      <c r="R108" s="5"/>
      <c r="S108" s="99"/>
    </row>
    <row r="109" spans="1:19" s="27" customFormat="1" ht="16.5" customHeight="1">
      <c r="A109" s="83"/>
      <c r="B109" s="158" t="s">
        <v>150</v>
      </c>
      <c r="C109" s="158"/>
      <c r="D109" s="158"/>
      <c r="E109" s="158"/>
      <c r="F109" s="158"/>
      <c r="G109" s="161">
        <f>'Financial Data Input'!Q132+'Financial Data Input'!Q134-'Financial Report '!G112</f>
        <v>2000</v>
      </c>
      <c r="H109" s="148"/>
      <c r="I109" s="148"/>
      <c r="J109" s="148"/>
      <c r="K109" s="148"/>
      <c r="L109" s="148"/>
      <c r="M109" s="148"/>
      <c r="N109" s="148"/>
      <c r="O109" s="148"/>
      <c r="P109" s="148"/>
      <c r="Q109" s="148"/>
      <c r="R109" s="5"/>
      <c r="S109" s="99"/>
    </row>
    <row r="110" spans="1:19" s="27" customFormat="1" ht="16.5" customHeight="1">
      <c r="A110" s="83"/>
      <c r="B110" s="157"/>
      <c r="C110" s="148"/>
      <c r="D110" s="148"/>
      <c r="E110" s="148"/>
      <c r="F110" s="148"/>
      <c r="G110" s="162"/>
      <c r="H110" s="148"/>
      <c r="I110" s="148"/>
      <c r="J110" s="148"/>
      <c r="K110" s="148"/>
      <c r="L110" s="148"/>
      <c r="M110" s="148"/>
      <c r="N110" s="148"/>
      <c r="O110" s="148"/>
      <c r="P110" s="148"/>
      <c r="Q110" s="148"/>
      <c r="R110" s="5"/>
      <c r="S110" s="99"/>
    </row>
    <row r="111" spans="1:19" s="27" customFormat="1" ht="16.5" customHeight="1">
      <c r="A111" s="83"/>
      <c r="B111" s="157" t="s">
        <v>151</v>
      </c>
      <c r="C111" s="148"/>
      <c r="D111" s="148"/>
      <c r="E111" s="148"/>
      <c r="F111" s="148"/>
      <c r="G111" s="163">
        <f>SUMIF('Financial Data Input'!$D$3:$O$3,"include",'Financial Data Input'!D24:O24)</f>
        <v>450</v>
      </c>
      <c r="H111" s="148"/>
      <c r="I111" s="148"/>
      <c r="J111" s="148"/>
      <c r="M111" s="148"/>
      <c r="N111" s="148"/>
      <c r="O111" s="148"/>
      <c r="P111" s="148"/>
      <c r="Q111" s="148"/>
      <c r="R111" s="5"/>
      <c r="S111" s="99"/>
    </row>
    <row r="112" spans="1:19" s="27" customFormat="1" ht="16.5" customHeight="1">
      <c r="A112" s="83"/>
      <c r="B112" s="157" t="s">
        <v>152</v>
      </c>
      <c r="C112" s="148"/>
      <c r="D112" s="148"/>
      <c r="E112" s="148"/>
      <c r="F112" s="148"/>
      <c r="G112" s="163">
        <f>SUMIF('Financial Data Input'!$D$3:$O$3,"include",('Financial Data Input'!$D$147:$O$147))</f>
        <v>400</v>
      </c>
      <c r="H112" s="148"/>
      <c r="I112" s="148"/>
      <c r="J112" s="148"/>
      <c r="M112" s="148"/>
      <c r="N112" s="148"/>
      <c r="O112" s="148"/>
      <c r="P112" s="148"/>
      <c r="Q112" s="148"/>
      <c r="R112" s="5"/>
      <c r="S112" s="99"/>
    </row>
    <row r="113" spans="1:19" s="27" customFormat="1" ht="16.5" customHeight="1" thickBot="1">
      <c r="A113" s="83"/>
      <c r="B113" s="157" t="s">
        <v>55</v>
      </c>
      <c r="C113" s="148"/>
      <c r="D113" s="148"/>
      <c r="E113" s="148"/>
      <c r="F113" s="148"/>
      <c r="G113" s="164">
        <f>G111-G112</f>
        <v>50</v>
      </c>
      <c r="H113" s="148"/>
      <c r="I113" s="148"/>
      <c r="J113" s="148"/>
      <c r="K113" s="148"/>
      <c r="L113" s="148"/>
      <c r="M113" s="148"/>
      <c r="N113" s="148"/>
      <c r="O113" s="148"/>
      <c r="P113" s="148"/>
      <c r="Q113" s="148"/>
      <c r="R113" s="5"/>
      <c r="S113" s="99"/>
    </row>
    <row r="114" spans="1:19" s="27" customFormat="1" ht="16.5" customHeight="1" thickTop="1">
      <c r="A114" s="83"/>
      <c r="B114" s="148"/>
      <c r="C114" s="148"/>
      <c r="D114" s="148"/>
      <c r="E114" s="148"/>
      <c r="F114" s="148"/>
      <c r="G114" s="162"/>
      <c r="H114" s="148"/>
      <c r="I114" s="148"/>
      <c r="J114" s="148"/>
      <c r="K114" s="148"/>
      <c r="L114" s="148"/>
      <c r="M114" s="148"/>
      <c r="N114" s="148"/>
      <c r="O114" s="148"/>
      <c r="P114" s="148"/>
      <c r="Q114" s="148"/>
      <c r="R114" s="5"/>
      <c r="S114" s="99"/>
    </row>
    <row r="115" spans="1:19" s="27" customFormat="1" ht="16.5" customHeight="1">
      <c r="A115" s="83"/>
      <c r="B115" s="158" t="s">
        <v>148</v>
      </c>
      <c r="C115" s="148"/>
      <c r="D115" s="148"/>
      <c r="E115" s="148"/>
      <c r="F115" s="148"/>
      <c r="G115" s="160">
        <f>'Graph Data and Workings'!B59</f>
        <v>0.1875</v>
      </c>
      <c r="H115" s="148"/>
      <c r="I115" s="148"/>
      <c r="J115" s="148"/>
      <c r="K115" s="148"/>
      <c r="L115" s="148"/>
      <c r="M115" s="148"/>
      <c r="N115" s="148"/>
      <c r="O115" s="148"/>
      <c r="P115" s="148"/>
      <c r="Q115" s="148"/>
      <c r="R115" s="5"/>
      <c r="S115" s="99"/>
    </row>
    <row r="116" spans="1:19" s="27" customFormat="1" ht="16.5" customHeight="1">
      <c r="A116" s="83"/>
      <c r="H116" s="148"/>
      <c r="I116" s="148"/>
      <c r="J116" s="148"/>
      <c r="K116" s="148"/>
      <c r="L116" s="148"/>
      <c r="M116" s="148"/>
      <c r="N116" s="148"/>
      <c r="O116" s="148"/>
      <c r="P116" s="148"/>
      <c r="Q116" s="148"/>
      <c r="R116" s="5"/>
      <c r="S116" s="99"/>
    </row>
    <row r="117" spans="1:19" s="27" customFormat="1" ht="16.5" customHeight="1">
      <c r="A117" s="83"/>
      <c r="B117" s="158" t="s">
        <v>153</v>
      </c>
      <c r="C117" s="148"/>
      <c r="D117" s="148"/>
      <c r="E117" s="148"/>
      <c r="F117" s="148"/>
      <c r="G117" s="258">
        <f>G109-G113</f>
        <v>1950</v>
      </c>
      <c r="H117" s="148"/>
      <c r="I117" s="148"/>
      <c r="J117" s="148"/>
      <c r="K117" s="148"/>
      <c r="L117" s="148"/>
      <c r="M117" s="148"/>
      <c r="N117" s="148"/>
      <c r="O117" s="148"/>
      <c r="P117" s="148"/>
      <c r="Q117" s="148"/>
      <c r="R117" s="5"/>
      <c r="S117" s="99"/>
    </row>
    <row r="118" spans="1:19" s="27" customFormat="1" ht="16.5" customHeight="1">
      <c r="A118" s="83"/>
      <c r="B118" s="158" t="s">
        <v>147</v>
      </c>
      <c r="C118" s="148"/>
      <c r="D118" s="148"/>
      <c r="E118" s="148"/>
      <c r="F118" s="148"/>
      <c r="G118" s="259">
        <v>1160</v>
      </c>
      <c r="H118" s="148"/>
      <c r="I118" s="148"/>
      <c r="J118" s="148"/>
      <c r="K118" s="148"/>
      <c r="L118" s="148"/>
      <c r="M118" s="148"/>
      <c r="N118" s="148"/>
      <c r="O118" s="148"/>
      <c r="P118" s="148"/>
      <c r="Q118" s="148"/>
      <c r="R118" s="5"/>
      <c r="S118" s="99"/>
    </row>
    <row r="119" spans="1:19" s="27" customFormat="1" ht="16.5" customHeight="1" thickBot="1">
      <c r="A119" s="83"/>
      <c r="B119" s="43" t="s">
        <v>149</v>
      </c>
      <c r="G119" s="257">
        <f>G118-G117</f>
        <v>-790</v>
      </c>
      <c r="H119" s="148"/>
      <c r="I119" s="148"/>
      <c r="J119" s="148"/>
      <c r="K119" s="148"/>
      <c r="L119" s="148"/>
      <c r="M119" s="148"/>
      <c r="N119" s="148"/>
      <c r="O119" s="148"/>
      <c r="P119" s="148"/>
      <c r="Q119" s="148"/>
      <c r="R119" s="5"/>
      <c r="S119" s="99"/>
    </row>
    <row r="120" spans="1:19" s="27" customFormat="1" ht="16.5" customHeight="1" thickTop="1">
      <c r="A120" s="83"/>
      <c r="B120" s="148"/>
      <c r="C120" s="148"/>
      <c r="D120" s="148"/>
      <c r="E120" s="148"/>
      <c r="F120" s="148"/>
      <c r="G120" s="148"/>
      <c r="H120" s="187"/>
      <c r="I120" s="187"/>
      <c r="J120" s="187"/>
      <c r="K120" s="187"/>
      <c r="L120" s="187"/>
      <c r="M120" s="187"/>
      <c r="N120" s="187"/>
      <c r="O120" s="187"/>
      <c r="P120" s="187"/>
      <c r="Q120" s="187"/>
      <c r="R120" s="5"/>
      <c r="S120" s="99"/>
    </row>
    <row r="121" spans="1:19" s="27" customFormat="1" ht="16.5" customHeight="1">
      <c r="A121" s="83"/>
      <c r="B121" s="187"/>
      <c r="C121" s="187"/>
      <c r="D121" s="187"/>
      <c r="E121" s="187"/>
      <c r="F121" s="187"/>
      <c r="G121" s="187"/>
      <c r="H121" s="187"/>
      <c r="I121" s="187"/>
      <c r="J121" s="187"/>
      <c r="K121" s="187"/>
      <c r="L121" s="187"/>
      <c r="M121" s="187"/>
      <c r="N121" s="187"/>
      <c r="O121" s="187"/>
      <c r="P121" s="187"/>
      <c r="Q121" s="187"/>
      <c r="R121" s="5"/>
      <c r="S121" s="99"/>
    </row>
    <row r="122" spans="1:19" s="27" customFormat="1" ht="16.5" customHeight="1">
      <c r="A122" s="83"/>
      <c r="B122" s="187"/>
      <c r="C122" s="187"/>
      <c r="D122" s="187"/>
      <c r="E122" s="187"/>
      <c r="F122" s="187"/>
      <c r="G122" s="187"/>
      <c r="H122" s="187"/>
      <c r="I122" s="187"/>
      <c r="J122" s="187"/>
      <c r="K122" s="187"/>
      <c r="L122" s="187"/>
      <c r="M122" s="187"/>
      <c r="N122" s="187"/>
      <c r="O122" s="187"/>
      <c r="P122" s="187"/>
      <c r="Q122" s="187"/>
      <c r="R122" s="5"/>
      <c r="S122" s="99"/>
    </row>
    <row r="123" spans="1:19" s="27" customFormat="1" ht="16.5" customHeight="1">
      <c r="A123" s="83"/>
      <c r="B123" s="187"/>
      <c r="C123" s="187"/>
      <c r="D123" s="187"/>
      <c r="E123" s="187"/>
      <c r="F123" s="187"/>
      <c r="G123" s="187"/>
      <c r="H123" s="187"/>
      <c r="I123" s="187"/>
      <c r="J123" s="187"/>
      <c r="K123" s="187"/>
      <c r="L123" s="187"/>
      <c r="M123" s="187"/>
      <c r="N123" s="187"/>
      <c r="O123" s="187"/>
      <c r="P123" s="187"/>
      <c r="Q123" s="187"/>
      <c r="R123" s="5"/>
      <c r="S123" s="99"/>
    </row>
    <row r="124" spans="1:19" s="27" customFormat="1" ht="16.5" customHeight="1">
      <c r="A124" s="83"/>
      <c r="B124" s="187"/>
      <c r="C124" s="187"/>
      <c r="D124" s="187"/>
      <c r="E124" s="187"/>
      <c r="F124" s="187"/>
      <c r="G124" s="187"/>
      <c r="H124" s="187"/>
      <c r="I124" s="187"/>
      <c r="J124" s="187"/>
      <c r="K124" s="187"/>
      <c r="L124" s="187"/>
      <c r="M124" s="187"/>
      <c r="N124" s="187"/>
      <c r="O124" s="187"/>
      <c r="P124" s="187"/>
      <c r="Q124" s="187"/>
      <c r="R124" s="5"/>
      <c r="S124" s="99"/>
    </row>
    <row r="125" spans="1:19" s="27" customFormat="1" ht="16.5" customHeight="1">
      <c r="A125" s="83"/>
      <c r="B125" s="187"/>
      <c r="C125" s="187"/>
      <c r="D125" s="187"/>
      <c r="E125" s="187"/>
      <c r="F125" s="187"/>
      <c r="G125" s="187"/>
      <c r="H125" s="187"/>
      <c r="I125" s="187"/>
      <c r="J125" s="187"/>
      <c r="K125" s="187"/>
      <c r="L125" s="187"/>
      <c r="M125" s="187"/>
      <c r="N125" s="187"/>
      <c r="O125" s="187"/>
      <c r="P125" s="187"/>
      <c r="Q125" s="187"/>
      <c r="R125" s="5"/>
      <c r="S125" s="99"/>
    </row>
    <row r="126" spans="1:19" s="27" customFormat="1" ht="16.5" customHeight="1">
      <c r="A126" s="83"/>
      <c r="B126" s="187"/>
      <c r="C126" s="187"/>
      <c r="D126" s="187"/>
      <c r="E126" s="187"/>
      <c r="F126" s="187"/>
      <c r="G126" s="187"/>
      <c r="H126" s="187"/>
      <c r="I126" s="187"/>
      <c r="J126" s="187"/>
      <c r="K126" s="187"/>
      <c r="L126" s="187"/>
      <c r="M126" s="187"/>
      <c r="N126" s="187"/>
      <c r="O126" s="187"/>
      <c r="P126" s="187"/>
      <c r="Q126" s="187"/>
      <c r="R126" s="5"/>
      <c r="S126" s="99"/>
    </row>
    <row r="127" spans="1:19" s="27" customFormat="1" ht="16.5" customHeight="1">
      <c r="A127" s="83"/>
      <c r="B127" s="187"/>
      <c r="C127" s="187"/>
      <c r="D127" s="187"/>
      <c r="E127" s="187"/>
      <c r="F127" s="187"/>
      <c r="G127" s="187"/>
      <c r="H127" s="187"/>
      <c r="I127" s="187"/>
      <c r="J127" s="187"/>
      <c r="K127" s="187"/>
      <c r="L127" s="187"/>
      <c r="M127" s="187"/>
      <c r="N127" s="187"/>
      <c r="O127" s="187"/>
      <c r="P127" s="187"/>
      <c r="Q127" s="187"/>
      <c r="R127" s="5"/>
      <c r="S127" s="99"/>
    </row>
    <row r="128" spans="1:19" s="27" customFormat="1" ht="16.5" customHeight="1">
      <c r="A128" s="83"/>
      <c r="B128" s="187"/>
      <c r="C128" s="187"/>
      <c r="D128" s="187"/>
      <c r="E128" s="187"/>
      <c r="F128" s="187"/>
      <c r="G128" s="187"/>
      <c r="H128" s="187"/>
      <c r="I128" s="187"/>
      <c r="J128" s="187"/>
      <c r="K128" s="187"/>
      <c r="L128" s="187"/>
      <c r="M128" s="187"/>
      <c r="N128" s="187"/>
      <c r="O128" s="187"/>
      <c r="P128" s="187"/>
      <c r="Q128" s="187"/>
      <c r="R128" s="5"/>
      <c r="S128" s="99"/>
    </row>
    <row r="129" spans="1:19" s="27" customFormat="1" ht="16.5" customHeight="1">
      <c r="A129" s="83"/>
      <c r="B129" s="187"/>
      <c r="C129" s="187"/>
      <c r="D129" s="187"/>
      <c r="E129" s="187"/>
      <c r="F129" s="187"/>
      <c r="G129" s="187"/>
      <c r="H129" s="187"/>
      <c r="I129" s="187"/>
      <c r="J129" s="187"/>
      <c r="K129" s="187"/>
      <c r="L129" s="187"/>
      <c r="M129" s="187"/>
      <c r="N129" s="187"/>
      <c r="O129" s="187"/>
      <c r="P129" s="187"/>
      <c r="Q129" s="187"/>
      <c r="R129" s="5"/>
      <c r="S129" s="99"/>
    </row>
    <row r="130" spans="1:19" s="27" customFormat="1" ht="16.5" customHeight="1">
      <c r="A130" s="83"/>
      <c r="B130" s="187"/>
      <c r="C130" s="187"/>
      <c r="D130" s="187"/>
      <c r="E130" s="187"/>
      <c r="F130" s="187"/>
      <c r="G130" s="187"/>
      <c r="H130" s="187"/>
      <c r="I130" s="187"/>
      <c r="J130" s="187"/>
      <c r="K130" s="187"/>
      <c r="L130" s="187"/>
      <c r="M130" s="187"/>
      <c r="N130" s="187"/>
      <c r="O130" s="187"/>
      <c r="P130" s="187"/>
      <c r="Q130" s="187"/>
      <c r="R130" s="5"/>
      <c r="S130" s="99"/>
    </row>
    <row r="131" spans="1:19" s="27" customFormat="1" ht="16.5" customHeight="1">
      <c r="A131" s="83"/>
      <c r="B131" s="187"/>
      <c r="C131" s="187"/>
      <c r="D131" s="187"/>
      <c r="E131" s="187"/>
      <c r="F131" s="187"/>
      <c r="G131" s="187"/>
      <c r="H131" s="187"/>
      <c r="I131" s="187"/>
      <c r="J131" s="187"/>
      <c r="K131" s="187"/>
      <c r="L131" s="187"/>
      <c r="M131" s="187"/>
      <c r="N131" s="187"/>
      <c r="O131" s="187"/>
      <c r="P131" s="187"/>
      <c r="Q131" s="187"/>
      <c r="R131" s="5"/>
      <c r="S131" s="99"/>
    </row>
    <row r="132" spans="1:19" s="27" customFormat="1" ht="16.5" customHeight="1">
      <c r="A132" s="83"/>
      <c r="B132" s="187"/>
      <c r="C132" s="187"/>
      <c r="D132" s="187"/>
      <c r="E132" s="187"/>
      <c r="F132" s="187"/>
      <c r="G132" s="187"/>
      <c r="H132" s="187"/>
      <c r="I132" s="187"/>
      <c r="J132" s="187"/>
      <c r="K132" s="187"/>
      <c r="L132" s="187"/>
      <c r="M132" s="187"/>
      <c r="N132" s="187"/>
      <c r="O132" s="187"/>
      <c r="P132" s="187"/>
      <c r="Q132" s="187"/>
      <c r="R132" s="5"/>
      <c r="S132" s="99"/>
    </row>
    <row r="133" spans="1:19" s="27" customFormat="1" ht="16.5" customHeight="1">
      <c r="A133" s="83"/>
      <c r="B133" s="187"/>
      <c r="C133" s="187"/>
      <c r="D133" s="187"/>
      <c r="E133" s="187"/>
      <c r="F133" s="187"/>
      <c r="G133" s="187"/>
      <c r="H133" s="187"/>
      <c r="I133" s="187"/>
      <c r="J133" s="187"/>
      <c r="K133" s="187"/>
      <c r="L133" s="187"/>
      <c r="M133" s="187"/>
      <c r="N133" s="187"/>
      <c r="O133" s="187"/>
      <c r="P133" s="187"/>
      <c r="Q133" s="187"/>
      <c r="R133" s="5"/>
      <c r="S133" s="99"/>
    </row>
    <row r="134" spans="1:19" s="27" customFormat="1" ht="16.5" customHeight="1">
      <c r="A134" s="83"/>
      <c r="B134" s="187"/>
      <c r="C134" s="187"/>
      <c r="D134" s="187"/>
      <c r="E134" s="187"/>
      <c r="F134" s="187"/>
      <c r="G134" s="187"/>
      <c r="H134" s="187"/>
      <c r="I134" s="187"/>
      <c r="J134" s="187"/>
      <c r="K134" s="187"/>
      <c r="L134" s="187"/>
      <c r="M134" s="187"/>
      <c r="N134" s="187"/>
      <c r="O134" s="187"/>
      <c r="P134" s="187"/>
      <c r="Q134" s="187"/>
      <c r="R134" s="5"/>
      <c r="S134" s="99"/>
    </row>
    <row r="135" spans="1:19" s="27" customFormat="1" ht="16.5" customHeight="1">
      <c r="A135" s="83"/>
      <c r="B135" s="187"/>
      <c r="C135" s="187"/>
      <c r="D135" s="187"/>
      <c r="E135" s="187"/>
      <c r="F135" s="187"/>
      <c r="G135" s="187"/>
      <c r="H135" s="187"/>
      <c r="I135" s="187"/>
      <c r="J135" s="187"/>
      <c r="K135" s="187"/>
      <c r="L135" s="187"/>
      <c r="M135" s="187"/>
      <c r="N135" s="187"/>
      <c r="O135" s="187"/>
      <c r="P135" s="187"/>
      <c r="Q135" s="187"/>
      <c r="R135" s="5"/>
      <c r="S135" s="99"/>
    </row>
    <row r="136" spans="1:19" s="27" customFormat="1" ht="16.5" customHeight="1">
      <c r="A136" s="83"/>
      <c r="B136" s="187"/>
      <c r="C136" s="187"/>
      <c r="D136" s="187"/>
      <c r="E136" s="187"/>
      <c r="F136" s="187"/>
      <c r="G136" s="187"/>
      <c r="H136" s="187"/>
      <c r="I136" s="187"/>
      <c r="J136" s="187"/>
      <c r="K136" s="187"/>
      <c r="L136" s="187"/>
      <c r="M136" s="187"/>
      <c r="N136" s="187"/>
      <c r="O136" s="187"/>
      <c r="P136" s="187"/>
      <c r="Q136" s="187"/>
      <c r="R136" s="5"/>
      <c r="S136" s="99"/>
    </row>
    <row r="137" spans="1:19" s="27" customFormat="1" ht="8.25" customHeight="1">
      <c r="A137" s="83"/>
      <c r="B137" s="187"/>
      <c r="C137" s="187"/>
      <c r="D137" s="187"/>
      <c r="E137" s="187"/>
      <c r="F137" s="187"/>
      <c r="G137" s="187"/>
      <c r="H137" s="187"/>
      <c r="I137" s="187"/>
      <c r="J137" s="187"/>
      <c r="K137" s="187"/>
      <c r="L137" s="187"/>
      <c r="M137" s="187"/>
      <c r="N137" s="187"/>
      <c r="O137" s="187"/>
      <c r="P137" s="187"/>
      <c r="Q137" s="187"/>
      <c r="R137" s="5"/>
      <c r="S137" s="99"/>
    </row>
    <row r="138" spans="1:19" s="27" customFormat="1" ht="16.5" customHeight="1" thickBot="1">
      <c r="A138" s="83"/>
      <c r="B138" s="88" t="s">
        <v>192</v>
      </c>
      <c r="C138" s="29"/>
      <c r="D138" s="5"/>
      <c r="E138" s="5"/>
      <c r="F138" s="47"/>
      <c r="G138" s="5"/>
      <c r="H138" s="47"/>
      <c r="I138" s="5"/>
      <c r="J138" s="5"/>
      <c r="K138" s="47"/>
      <c r="L138" s="5"/>
      <c r="M138" s="45"/>
      <c r="N138" s="5"/>
      <c r="O138" s="45"/>
      <c r="P138" s="45"/>
      <c r="Q138" s="5"/>
      <c r="R138" s="5"/>
      <c r="S138" s="99"/>
    </row>
    <row r="139" spans="1:19" s="27" customFormat="1" ht="16.5" customHeight="1">
      <c r="A139" s="83"/>
      <c r="B139" s="365" t="s">
        <v>193</v>
      </c>
      <c r="C139" s="366"/>
      <c r="D139" s="366"/>
      <c r="E139" s="366"/>
      <c r="F139" s="366"/>
      <c r="G139" s="366"/>
      <c r="H139" s="366"/>
      <c r="I139" s="366"/>
      <c r="J139" s="366"/>
      <c r="K139" s="366"/>
      <c r="L139" s="366"/>
      <c r="M139" s="366"/>
      <c r="N139" s="366"/>
      <c r="O139" s="366"/>
      <c r="P139" s="366"/>
      <c r="Q139" s="367"/>
      <c r="R139" s="5"/>
      <c r="S139" s="99"/>
    </row>
    <row r="140" spans="1:19" s="27" customFormat="1" ht="16.5" customHeight="1">
      <c r="A140" s="83"/>
      <c r="B140" s="368"/>
      <c r="C140" s="369"/>
      <c r="D140" s="369"/>
      <c r="E140" s="369"/>
      <c r="F140" s="369"/>
      <c r="G140" s="369"/>
      <c r="H140" s="369"/>
      <c r="I140" s="369"/>
      <c r="J140" s="369"/>
      <c r="K140" s="369"/>
      <c r="L140" s="369"/>
      <c r="M140" s="369"/>
      <c r="N140" s="369"/>
      <c r="O140" s="369"/>
      <c r="P140" s="369"/>
      <c r="Q140" s="370"/>
      <c r="R140" s="5"/>
      <c r="S140" s="99"/>
    </row>
    <row r="141" spans="1:19" s="27" customFormat="1" ht="16.5" customHeight="1">
      <c r="A141" s="83"/>
      <c r="B141" s="368"/>
      <c r="C141" s="369"/>
      <c r="D141" s="369"/>
      <c r="E141" s="369"/>
      <c r="F141" s="369"/>
      <c r="G141" s="369"/>
      <c r="H141" s="369"/>
      <c r="I141" s="369"/>
      <c r="J141" s="369"/>
      <c r="K141" s="369"/>
      <c r="L141" s="369"/>
      <c r="M141" s="369"/>
      <c r="N141" s="369"/>
      <c r="O141" s="369"/>
      <c r="P141" s="369"/>
      <c r="Q141" s="370"/>
      <c r="R141" s="5"/>
      <c r="S141" s="99"/>
    </row>
    <row r="142" spans="1:19" s="27" customFormat="1" ht="16.5" customHeight="1">
      <c r="A142" s="83"/>
      <c r="B142" s="368"/>
      <c r="C142" s="369"/>
      <c r="D142" s="369"/>
      <c r="E142" s="369"/>
      <c r="F142" s="369"/>
      <c r="G142" s="369"/>
      <c r="H142" s="369"/>
      <c r="I142" s="369"/>
      <c r="J142" s="369"/>
      <c r="K142" s="369"/>
      <c r="L142" s="369"/>
      <c r="M142" s="369"/>
      <c r="N142" s="369"/>
      <c r="O142" s="369"/>
      <c r="P142" s="369"/>
      <c r="Q142" s="370"/>
      <c r="R142" s="5"/>
      <c r="S142" s="99"/>
    </row>
    <row r="143" spans="1:19" s="27" customFormat="1" ht="16.5" customHeight="1">
      <c r="A143" s="83"/>
      <c r="B143" s="368"/>
      <c r="C143" s="369"/>
      <c r="D143" s="369"/>
      <c r="E143" s="369"/>
      <c r="F143" s="369"/>
      <c r="G143" s="369"/>
      <c r="H143" s="369"/>
      <c r="I143" s="369"/>
      <c r="J143" s="369"/>
      <c r="K143" s="369"/>
      <c r="L143" s="369"/>
      <c r="M143" s="369"/>
      <c r="N143" s="369"/>
      <c r="O143" s="369"/>
      <c r="P143" s="369"/>
      <c r="Q143" s="370"/>
      <c r="R143" s="5"/>
      <c r="S143" s="99"/>
    </row>
    <row r="144" spans="1:19" s="27" customFormat="1" ht="16.5" customHeight="1">
      <c r="A144" s="83"/>
      <c r="B144" s="368"/>
      <c r="C144" s="369"/>
      <c r="D144" s="369"/>
      <c r="E144" s="369"/>
      <c r="F144" s="369"/>
      <c r="G144" s="369"/>
      <c r="H144" s="369"/>
      <c r="I144" s="369"/>
      <c r="J144" s="369"/>
      <c r="K144" s="369"/>
      <c r="L144" s="369"/>
      <c r="M144" s="369"/>
      <c r="N144" s="369"/>
      <c r="O144" s="369"/>
      <c r="P144" s="369"/>
      <c r="Q144" s="370"/>
      <c r="R144" s="5"/>
      <c r="S144" s="99"/>
    </row>
    <row r="145" spans="1:19" s="27" customFormat="1" ht="16.5" customHeight="1" thickBot="1">
      <c r="A145" s="83"/>
      <c r="B145" s="371"/>
      <c r="C145" s="372"/>
      <c r="D145" s="372"/>
      <c r="E145" s="372"/>
      <c r="F145" s="372"/>
      <c r="G145" s="372"/>
      <c r="H145" s="372"/>
      <c r="I145" s="372"/>
      <c r="J145" s="372"/>
      <c r="K145" s="372"/>
      <c r="L145" s="372"/>
      <c r="M145" s="372"/>
      <c r="N145" s="372"/>
      <c r="O145" s="372"/>
      <c r="P145" s="372"/>
      <c r="Q145" s="373"/>
      <c r="R145" s="5"/>
      <c r="S145" s="99"/>
    </row>
    <row r="146" spans="1:19" s="27" customFormat="1" ht="16.5" customHeight="1">
      <c r="A146" s="83"/>
      <c r="B146" s="187"/>
      <c r="C146" s="187"/>
      <c r="D146" s="187"/>
      <c r="E146" s="187"/>
      <c r="F146" s="187"/>
      <c r="G146" s="187"/>
      <c r="H146" s="187"/>
      <c r="I146" s="187"/>
      <c r="J146" s="187"/>
      <c r="K146" s="187"/>
      <c r="L146" s="187"/>
      <c r="M146" s="187"/>
      <c r="N146" s="187"/>
      <c r="O146" s="187"/>
      <c r="P146" s="187"/>
      <c r="Q146" s="187"/>
      <c r="R146" s="5"/>
      <c r="S146" s="99"/>
    </row>
    <row r="147" spans="1:19" s="27" customFormat="1" ht="16.5" customHeight="1">
      <c r="A147" s="83"/>
      <c r="B147" s="148"/>
      <c r="C147" s="148"/>
      <c r="D147" s="148"/>
      <c r="E147" s="148"/>
      <c r="F147" s="148"/>
      <c r="G147" s="148"/>
      <c r="H147" s="148"/>
      <c r="I147" s="148"/>
      <c r="J147" s="148"/>
      <c r="K147" s="148"/>
      <c r="L147" s="148"/>
      <c r="M147" s="148"/>
      <c r="N147" s="148"/>
      <c r="O147" s="148"/>
      <c r="P147" s="148"/>
      <c r="Q147" s="148"/>
      <c r="R147" s="5"/>
      <c r="S147" s="99"/>
    </row>
    <row r="148" spans="1:19" s="27" customFormat="1" ht="16.5" customHeight="1">
      <c r="A148" s="83"/>
      <c r="B148" s="148"/>
      <c r="C148" s="148"/>
      <c r="D148" s="148"/>
      <c r="E148" s="148"/>
      <c r="F148" s="148"/>
      <c r="G148" s="148"/>
      <c r="H148" s="148"/>
      <c r="I148" s="148"/>
      <c r="J148" s="148"/>
      <c r="K148" s="148"/>
      <c r="L148" s="148"/>
      <c r="M148" s="148"/>
      <c r="N148" s="148"/>
      <c r="O148" s="148"/>
      <c r="P148" s="148"/>
      <c r="Q148" s="148"/>
      <c r="R148" s="5"/>
      <c r="S148" s="99"/>
    </row>
    <row r="149" spans="1:19" s="27" customFormat="1" ht="16.5" customHeight="1">
      <c r="A149" s="83"/>
      <c r="B149" s="85" t="s">
        <v>46</v>
      </c>
      <c r="C149" s="29"/>
      <c r="D149" s="5"/>
      <c r="E149" s="5"/>
      <c r="F149" s="10">
        <f>Instructions!D15</f>
        <v>41882</v>
      </c>
      <c r="G149" s="10"/>
      <c r="H149" s="10"/>
      <c r="I149" s="5"/>
      <c r="J149" s="5"/>
      <c r="K149" s="47"/>
      <c r="L149" s="5"/>
      <c r="M149" s="45"/>
      <c r="N149" s="5"/>
      <c r="O149" s="45"/>
      <c r="P149" s="45"/>
      <c r="Q149" s="5"/>
      <c r="R149" s="5"/>
      <c r="S149" s="99"/>
    </row>
    <row r="150" spans="1:19" s="27" customFormat="1" ht="16.5" customHeight="1">
      <c r="A150" s="83"/>
      <c r="B150" s="85"/>
      <c r="C150" s="29"/>
      <c r="D150" s="5"/>
      <c r="E150" s="5"/>
      <c r="F150" s="10" t="s">
        <v>7</v>
      </c>
      <c r="G150" s="52"/>
      <c r="H150" s="52"/>
      <c r="I150" s="5"/>
      <c r="J150" s="5"/>
      <c r="K150" s="47"/>
      <c r="L150" s="5"/>
      <c r="M150" s="45"/>
      <c r="N150" s="5"/>
      <c r="O150" s="45"/>
      <c r="P150" s="45"/>
      <c r="Q150" s="5"/>
      <c r="R150" s="5"/>
      <c r="S150" s="99"/>
    </row>
    <row r="151" spans="1:19" s="27" customFormat="1" ht="16.5" customHeight="1">
      <c r="A151" s="83"/>
      <c r="B151" s="89"/>
      <c r="C151" s="29"/>
      <c r="D151" s="5"/>
      <c r="E151" s="135"/>
      <c r="F151" s="136"/>
      <c r="G151" s="5"/>
      <c r="H151" s="47"/>
      <c r="I151" s="5"/>
      <c r="J151" s="5"/>
      <c r="K151" s="47"/>
      <c r="L151" s="5"/>
      <c r="M151" s="45"/>
      <c r="N151" s="5"/>
      <c r="O151" s="45"/>
      <c r="P151" s="45"/>
      <c r="Q151" s="5"/>
      <c r="R151" s="5"/>
      <c r="S151" s="99"/>
    </row>
    <row r="152" spans="1:19" s="27" customFormat="1" ht="16.5" customHeight="1">
      <c r="A152" s="83"/>
      <c r="B152" s="137" t="s">
        <v>31</v>
      </c>
      <c r="C152" s="29"/>
      <c r="D152" s="5"/>
      <c r="E152" s="135"/>
      <c r="F152" s="134">
        <f>HLOOKUP(EOMONTH(Instructions!$D$15,0),'Financial Data Input'!$C$4:$O$97,'Financial Data Input'!C64,FALSE)</f>
        <v>2581</v>
      </c>
      <c r="G152" s="5"/>
      <c r="H152" s="47"/>
      <c r="I152" s="5"/>
      <c r="J152" s="5"/>
      <c r="K152" s="47"/>
      <c r="L152" s="5"/>
      <c r="M152" s="45"/>
      <c r="N152" s="5"/>
      <c r="O152" s="45"/>
      <c r="P152" s="45"/>
      <c r="Q152" s="5"/>
      <c r="R152" s="5"/>
      <c r="S152" s="99"/>
    </row>
    <row r="153" spans="1:19" s="27" customFormat="1" ht="16.5" customHeight="1">
      <c r="A153" s="83"/>
      <c r="B153" s="137" t="s">
        <v>32</v>
      </c>
      <c r="C153" s="29"/>
      <c r="D153" s="5"/>
      <c r="E153" s="135"/>
      <c r="F153" s="134">
        <f>HLOOKUP(EOMONTH(Instructions!$D$15,0),'Financial Data Input'!$C$4:$O$97,'Financial Data Input'!C75,FALSE)</f>
        <v>1280</v>
      </c>
      <c r="G153" s="5"/>
      <c r="H153" s="47"/>
      <c r="I153" s="5"/>
      <c r="J153" s="5"/>
      <c r="K153" s="47"/>
      <c r="L153" s="5"/>
      <c r="M153" s="45"/>
      <c r="N153" s="5"/>
      <c r="O153" s="45"/>
      <c r="P153" s="45"/>
      <c r="Q153" s="5"/>
      <c r="R153" s="5"/>
      <c r="S153" s="99"/>
    </row>
    <row r="154" spans="1:19" s="27" customFormat="1" ht="16.5" customHeight="1">
      <c r="A154" s="83"/>
      <c r="B154" s="137" t="str">
        <f>'Financial Data Input'!A77</f>
        <v>Working Capital</v>
      </c>
      <c r="C154" s="29"/>
      <c r="D154" s="5"/>
      <c r="E154" s="135"/>
      <c r="F154" s="142">
        <f>HLOOKUP(EOMONTH(Instructions!$D$15,0),'Financial Data Input'!$C$4:$O$97,'Financial Data Input'!C77,FALSE)</f>
        <v>1301</v>
      </c>
      <c r="G154" s="5"/>
      <c r="H154" s="47"/>
      <c r="I154" s="5"/>
      <c r="J154" s="5"/>
      <c r="K154" s="47"/>
      <c r="L154" s="5"/>
      <c r="M154" s="45"/>
      <c r="N154" s="5"/>
      <c r="O154" s="45"/>
      <c r="P154" s="45"/>
      <c r="Q154" s="5"/>
      <c r="R154" s="5"/>
      <c r="S154" s="99"/>
    </row>
    <row r="155" spans="1:19" s="27" customFormat="1" ht="16.5" customHeight="1">
      <c r="A155" s="83"/>
      <c r="B155" s="137"/>
      <c r="C155" s="29"/>
      <c r="D155" s="5"/>
      <c r="E155" s="135"/>
      <c r="F155" s="134"/>
      <c r="G155" s="5"/>
      <c r="H155" s="47"/>
      <c r="I155" s="5"/>
      <c r="J155" s="5"/>
      <c r="K155" s="47"/>
      <c r="L155" s="5"/>
      <c r="M155" s="45"/>
      <c r="N155" s="5"/>
      <c r="O155" s="45"/>
      <c r="P155" s="45"/>
      <c r="Q155" s="5"/>
      <c r="R155" s="5"/>
      <c r="S155" s="99"/>
    </row>
    <row r="156" spans="1:19" s="27" customFormat="1" ht="16.5" customHeight="1">
      <c r="A156" s="83"/>
      <c r="B156" s="137" t="s">
        <v>199</v>
      </c>
      <c r="C156" s="29"/>
      <c r="D156" s="5"/>
      <c r="E156" s="135"/>
      <c r="F156" s="134">
        <f>HLOOKUP(EOMONTH(Instructions!$D$15,0),'Financial Data Input'!$C$4:$O$97,'Financial Data Input'!C87,FALSE)</f>
        <v>220</v>
      </c>
      <c r="G156" s="5"/>
      <c r="H156" s="47"/>
      <c r="I156" s="5"/>
      <c r="J156" s="5"/>
      <c r="K156" s="47"/>
      <c r="L156" s="5"/>
      <c r="M156" s="45"/>
      <c r="N156" s="5"/>
      <c r="O156" s="45"/>
      <c r="P156" s="45"/>
      <c r="Q156" s="5"/>
      <c r="R156" s="5"/>
      <c r="S156" s="99"/>
    </row>
    <row r="157" spans="1:19" s="27" customFormat="1" ht="16.5" customHeight="1">
      <c r="A157" s="83"/>
      <c r="B157" s="137" t="s">
        <v>35</v>
      </c>
      <c r="C157" s="29"/>
      <c r="D157" s="5"/>
      <c r="E157" s="135"/>
      <c r="F157" s="134">
        <f>HLOOKUP(EOMONTH(Instructions!$D$15,0),'Financial Data Input'!$C$4:$O$97,'Financial Data Input'!C95,FALSE)</f>
        <v>55</v>
      </c>
      <c r="G157" s="5"/>
      <c r="H157" s="47"/>
      <c r="I157" s="5"/>
      <c r="J157" s="5"/>
      <c r="K157" s="47"/>
      <c r="L157" s="5"/>
      <c r="M157" s="45"/>
      <c r="N157" s="5"/>
      <c r="O157" s="45"/>
      <c r="P157" s="45"/>
      <c r="Q157" s="5"/>
      <c r="R157" s="5"/>
      <c r="S157" s="99"/>
    </row>
    <row r="158" spans="1:19" s="27" customFormat="1" ht="16.5" customHeight="1">
      <c r="A158" s="83"/>
      <c r="B158" s="88"/>
      <c r="C158" s="29"/>
      <c r="D158" s="5"/>
      <c r="E158" s="135"/>
      <c r="F158" s="134"/>
      <c r="G158" s="5"/>
      <c r="H158" s="47"/>
      <c r="I158" s="5"/>
      <c r="J158" s="5"/>
      <c r="K158" s="47"/>
      <c r="L158" s="5"/>
      <c r="M158" s="45"/>
      <c r="N158" s="5"/>
      <c r="O158" s="45"/>
      <c r="P158" s="45"/>
      <c r="Q158" s="5"/>
      <c r="R158" s="5"/>
      <c r="S158" s="99"/>
    </row>
    <row r="159" spans="1:19" s="27" customFormat="1" ht="16.5" customHeight="1" thickBot="1">
      <c r="A159" s="83"/>
      <c r="B159" s="88" t="s">
        <v>37</v>
      </c>
      <c r="C159" s="29"/>
      <c r="D159" s="5"/>
      <c r="E159" s="135"/>
      <c r="F159" s="141">
        <f>HLOOKUP(EOMONTH(Instructions!$D$15,0),'Financial Data Input'!$C$4:$O$97,'Financial Data Input'!C97,FALSE)</f>
        <v>1466</v>
      </c>
      <c r="G159" s="5"/>
      <c r="H159" s="47"/>
      <c r="I159" s="5"/>
      <c r="J159" s="5"/>
      <c r="K159" s="47"/>
      <c r="L159" s="5"/>
      <c r="M159" s="45"/>
      <c r="N159" s="5"/>
      <c r="O159" s="45"/>
      <c r="P159" s="45"/>
      <c r="Q159" s="5"/>
      <c r="R159" s="5"/>
      <c r="S159" s="99"/>
    </row>
    <row r="160" spans="1:19" s="27" customFormat="1" ht="16.5" customHeight="1" thickTop="1">
      <c r="A160" s="83"/>
      <c r="B160" s="88"/>
      <c r="C160" s="29"/>
      <c r="D160" s="5"/>
      <c r="E160" s="135"/>
      <c r="F160" s="134"/>
      <c r="G160" s="5"/>
      <c r="H160" s="47"/>
      <c r="I160" s="5"/>
      <c r="J160" s="5"/>
      <c r="K160" s="47"/>
      <c r="L160" s="5"/>
      <c r="M160" s="45"/>
      <c r="N160" s="5"/>
      <c r="O160" s="45"/>
      <c r="P160" s="45"/>
      <c r="Q160" s="5"/>
      <c r="R160" s="5"/>
      <c r="S160" s="99"/>
    </row>
    <row r="161" spans="1:19" s="27" customFormat="1" ht="16.5" hidden="1" customHeight="1">
      <c r="A161" s="83"/>
      <c r="B161" s="137" t="s">
        <v>23</v>
      </c>
      <c r="C161" s="29"/>
      <c r="D161" s="5"/>
      <c r="E161" s="135"/>
      <c r="F161" s="134">
        <f>HLOOKUP(EOMONTH(Instructions!$D$15,0),'Financial Data Input'!$C$4:$O$97,'Financial Data Input'!C55,FALSE)</f>
        <v>1160</v>
      </c>
      <c r="G161" s="5"/>
      <c r="H161" s="47"/>
      <c r="I161" s="5"/>
      <c r="J161" s="5"/>
      <c r="K161" s="47"/>
      <c r="L161" s="5"/>
      <c r="M161" s="45"/>
      <c r="N161" s="5"/>
      <c r="O161" s="45"/>
      <c r="P161" s="45"/>
      <c r="Q161" s="5"/>
      <c r="R161" s="5"/>
      <c r="S161" s="99"/>
    </row>
    <row r="162" spans="1:19" s="27" customFormat="1" ht="16.5" customHeight="1">
      <c r="A162" s="83"/>
      <c r="B162" s="88"/>
      <c r="C162" s="29"/>
      <c r="D162" s="5"/>
      <c r="E162" s="135"/>
      <c r="F162" s="134"/>
      <c r="G162" s="5"/>
      <c r="H162" s="47"/>
      <c r="I162" s="5"/>
      <c r="J162" s="5"/>
      <c r="K162" s="47"/>
      <c r="L162" s="5"/>
      <c r="M162" s="45"/>
      <c r="N162" s="5"/>
      <c r="O162" s="45"/>
      <c r="P162" s="45"/>
      <c r="Q162" s="5"/>
      <c r="R162" s="5"/>
      <c r="S162" s="99"/>
    </row>
    <row r="163" spans="1:19" s="27" customFormat="1" ht="16.5" customHeight="1">
      <c r="A163" s="83"/>
      <c r="B163" s="88" t="s">
        <v>106</v>
      </c>
      <c r="C163" s="29"/>
      <c r="D163" s="5"/>
      <c r="E163" s="135"/>
      <c r="F163" s="143" t="s">
        <v>7</v>
      </c>
      <c r="G163" s="52" t="s">
        <v>0</v>
      </c>
      <c r="H163" s="52" t="s">
        <v>20</v>
      </c>
      <c r="I163" s="5"/>
      <c r="J163" s="5"/>
      <c r="K163" s="47"/>
      <c r="L163" s="5"/>
      <c r="M163" s="45"/>
      <c r="N163" s="5"/>
      <c r="O163" s="45"/>
      <c r="P163" s="45"/>
      <c r="Q163" s="5"/>
      <c r="R163" s="5"/>
      <c r="S163" s="99"/>
    </row>
    <row r="164" spans="1:19" s="27" customFormat="1" ht="16.5" customHeight="1">
      <c r="A164" s="83"/>
      <c r="B164" s="137" t="str">
        <f>'Financial Data Input'!A103</f>
        <v>Working Capital Ratio</v>
      </c>
      <c r="C164" s="29"/>
      <c r="D164" s="5"/>
      <c r="E164" s="135"/>
      <c r="F164" s="140">
        <f>HLOOKUP(EOMONTH(Instructions!$D$15,0),'Financial Data Input'!$C$4:$O$104,'Financial Data Input'!C103,FALSE)</f>
        <v>2.0164062500000002</v>
      </c>
      <c r="G164" s="196">
        <f>'Financial Data Input'!D198</f>
        <v>1.1000000000000001</v>
      </c>
      <c r="H164" s="245">
        <f>F164-G164</f>
        <v>0.91640625000000009</v>
      </c>
      <c r="I164" s="5"/>
      <c r="J164" s="5"/>
      <c r="K164" s="47"/>
      <c r="L164" s="5"/>
      <c r="M164" s="45"/>
      <c r="N164" s="5"/>
      <c r="O164" s="45"/>
      <c r="P164" s="45"/>
      <c r="Q164" s="5"/>
      <c r="R164" s="5"/>
      <c r="S164" s="99"/>
    </row>
    <row r="165" spans="1:19" s="27" customFormat="1" ht="16.5" customHeight="1">
      <c r="A165" s="83"/>
      <c r="B165" s="137"/>
      <c r="C165" s="29"/>
      <c r="D165" s="5"/>
      <c r="E165" s="135"/>
      <c r="F165" s="140"/>
      <c r="G165" s="196"/>
      <c r="H165" s="144"/>
      <c r="I165" s="5"/>
      <c r="J165" s="5"/>
      <c r="K165" s="47"/>
      <c r="L165" s="5"/>
      <c r="M165" s="45"/>
      <c r="N165" s="5"/>
      <c r="O165" s="45"/>
      <c r="P165" s="45"/>
      <c r="Q165" s="5"/>
      <c r="R165" s="5"/>
      <c r="S165" s="99"/>
    </row>
    <row r="166" spans="1:19" s="27" customFormat="1" ht="16.5" customHeight="1">
      <c r="A166" s="83"/>
      <c r="B166" s="137"/>
      <c r="C166" s="29"/>
      <c r="D166" s="5"/>
      <c r="E166" s="238" t="s">
        <v>115</v>
      </c>
      <c r="F166" s="239" t="s">
        <v>116</v>
      </c>
      <c r="H166" s="144"/>
      <c r="I166" s="5"/>
      <c r="J166" s="5"/>
      <c r="K166" s="47"/>
      <c r="L166" s="5"/>
      <c r="M166" s="45"/>
      <c r="N166" s="5"/>
      <c r="O166" s="45"/>
      <c r="P166" s="45"/>
      <c r="Q166" s="5"/>
      <c r="R166" s="5"/>
      <c r="S166" s="99"/>
    </row>
    <row r="167" spans="1:19" s="27" customFormat="1" ht="16.5" customHeight="1">
      <c r="A167" s="83"/>
      <c r="B167" s="237" t="s">
        <v>113</v>
      </c>
      <c r="E167" s="134">
        <f>HLOOKUP(EOMONTH(Instructions!$D$15,0),'Financial Data Input'!$C$4:$O$123,'Financial Data Input'!C113,FALSE)</f>
        <v>350</v>
      </c>
      <c r="F167" s="241">
        <f>HLOOKUP(EOMONTH(Instructions!$D$15,0),'Financial Data Input'!$C$4:$O$123,'Financial Data Input'!C114,FALSE)</f>
        <v>0.28000000000000003</v>
      </c>
      <c r="G167" s="242">
        <f>100%-'Financial Data Input'!D199</f>
        <v>0.15000000000000002</v>
      </c>
      <c r="H167" s="242">
        <f>G167-F167</f>
        <v>-0.13</v>
      </c>
      <c r="I167" s="5"/>
      <c r="J167" s="5"/>
      <c r="K167" s="47"/>
      <c r="L167" s="5"/>
      <c r="M167" s="45"/>
      <c r="N167" s="5"/>
      <c r="O167" s="45"/>
      <c r="P167" s="45"/>
      <c r="Q167" s="5"/>
      <c r="R167" s="5"/>
      <c r="S167" s="99"/>
    </row>
    <row r="168" spans="1:19" s="27" customFormat="1" ht="16.5" customHeight="1">
      <c r="A168" s="83"/>
      <c r="B168" s="137" t="s">
        <v>114</v>
      </c>
      <c r="C168" s="29"/>
      <c r="D168" s="5"/>
      <c r="E168" s="134">
        <f>HLOOKUP(EOMONTH(Instructions!$D$15,0),'Financial Data Input'!$C$4:$O$123,'Financial Data Input'!C123,FALSE)</f>
        <v>170</v>
      </c>
      <c r="F168" s="241">
        <f>HLOOKUP(EOMONTH(Instructions!$D$15,0),'Financial Data Input'!$C$4:$O$124,'Financial Data Input'!C124,FALSE)</f>
        <v>0.14529914529914531</v>
      </c>
      <c r="G168" s="243">
        <f>100%-'Financial Data Input'!D200</f>
        <v>5.0000000000000044E-2</v>
      </c>
      <c r="H168" s="241">
        <f>G168-F168</f>
        <v>-9.5299145299145266E-2</v>
      </c>
      <c r="I168" s="5"/>
      <c r="J168" s="5"/>
      <c r="K168" s="47"/>
      <c r="L168" s="5"/>
      <c r="M168" s="45"/>
      <c r="N168" s="5"/>
      <c r="O168" s="45"/>
      <c r="P168" s="45"/>
      <c r="Q168" s="5"/>
      <c r="R168" s="5"/>
      <c r="S168" s="99"/>
    </row>
    <row r="169" spans="1:19" s="27" customFormat="1" ht="16.5" customHeight="1">
      <c r="A169" s="83"/>
      <c r="B169" s="89"/>
      <c r="C169" s="29"/>
      <c r="D169" s="5"/>
      <c r="E169" s="135"/>
      <c r="F169" s="134"/>
      <c r="G169" s="5"/>
      <c r="H169" s="47"/>
      <c r="I169" s="5"/>
      <c r="J169" s="5"/>
      <c r="K169" s="47"/>
      <c r="L169" s="5"/>
      <c r="M169" s="45"/>
      <c r="N169" s="5"/>
      <c r="O169" s="45"/>
      <c r="P169" s="45"/>
      <c r="Q169" s="5"/>
      <c r="R169" s="5"/>
      <c r="S169" s="99"/>
    </row>
    <row r="170" spans="1:19" s="27" customFormat="1" ht="16.5" customHeight="1">
      <c r="A170" s="83"/>
      <c r="B170" s="89"/>
      <c r="C170" s="29"/>
      <c r="D170" s="5"/>
      <c r="E170" s="135"/>
      <c r="F170" s="134"/>
      <c r="G170" s="5"/>
      <c r="H170" s="47"/>
      <c r="I170" s="5"/>
      <c r="J170" s="5"/>
      <c r="K170" s="47"/>
      <c r="L170" s="5"/>
      <c r="M170" s="45"/>
      <c r="N170" s="5"/>
      <c r="O170" s="45"/>
      <c r="P170" s="45"/>
      <c r="Q170" s="5"/>
      <c r="R170" s="5"/>
      <c r="S170" s="99"/>
    </row>
    <row r="171" spans="1:19" s="27" customFormat="1" ht="16.5" customHeight="1">
      <c r="A171" s="83"/>
      <c r="B171" s="89"/>
      <c r="C171" s="29"/>
      <c r="D171" s="5"/>
      <c r="E171" s="135"/>
      <c r="F171" s="136"/>
      <c r="G171" s="5"/>
      <c r="H171" s="47"/>
      <c r="I171" s="5"/>
      <c r="J171" s="5"/>
      <c r="K171" s="47"/>
      <c r="L171" s="5"/>
      <c r="M171" s="45"/>
      <c r="N171" s="5"/>
      <c r="O171" s="45"/>
      <c r="P171" s="45"/>
      <c r="Q171" s="5"/>
      <c r="R171" s="5"/>
      <c r="S171" s="99"/>
    </row>
    <row r="172" spans="1:19" s="27" customFormat="1" ht="16.5" customHeight="1">
      <c r="A172" s="83"/>
      <c r="B172" s="89"/>
      <c r="C172" s="29"/>
      <c r="D172" s="5"/>
      <c r="E172" s="5"/>
      <c r="F172" s="47"/>
      <c r="G172" s="5"/>
      <c r="H172" s="47"/>
      <c r="I172" s="5"/>
      <c r="J172" s="5"/>
      <c r="K172" s="47"/>
      <c r="L172" s="5"/>
      <c r="M172" s="45"/>
      <c r="N172" s="5"/>
      <c r="O172" s="45"/>
      <c r="P172" s="45"/>
      <c r="Q172" s="5"/>
      <c r="R172" s="5"/>
      <c r="S172" s="99"/>
    </row>
    <row r="173" spans="1:19" s="27" customFormat="1" ht="16.5" customHeight="1">
      <c r="A173" s="83"/>
      <c r="B173" s="89"/>
      <c r="C173" s="29"/>
      <c r="D173" s="5"/>
      <c r="E173" s="5"/>
      <c r="F173" s="47"/>
      <c r="G173" s="5"/>
      <c r="H173" s="47"/>
      <c r="I173" s="5"/>
      <c r="J173" s="5"/>
      <c r="K173" s="47"/>
      <c r="L173" s="5"/>
      <c r="M173" s="45"/>
      <c r="N173" s="5"/>
      <c r="O173" s="45"/>
      <c r="P173" s="45"/>
      <c r="Q173" s="5"/>
      <c r="R173" s="5"/>
      <c r="S173" s="99"/>
    </row>
    <row r="174" spans="1:19" s="27" customFormat="1" ht="16.5" customHeight="1">
      <c r="A174" s="83"/>
      <c r="B174" s="89"/>
      <c r="C174" s="29"/>
      <c r="D174" s="5"/>
      <c r="E174" s="5"/>
      <c r="F174" s="47"/>
      <c r="G174" s="5"/>
      <c r="H174" s="47"/>
      <c r="I174" s="5"/>
      <c r="J174" s="5"/>
      <c r="K174" s="47"/>
      <c r="L174" s="5"/>
      <c r="M174" s="45"/>
      <c r="N174" s="5"/>
      <c r="O174" s="45"/>
      <c r="P174" s="45"/>
      <c r="Q174" s="5"/>
      <c r="R174" s="5"/>
      <c r="S174" s="99"/>
    </row>
    <row r="175" spans="1:19" s="27" customFormat="1" ht="16.5" customHeight="1">
      <c r="A175" s="83"/>
      <c r="B175" s="89"/>
      <c r="C175" s="29"/>
      <c r="D175" s="5"/>
      <c r="E175" s="5"/>
      <c r="F175" s="47"/>
      <c r="G175" s="5"/>
      <c r="H175" s="47"/>
      <c r="I175" s="5"/>
      <c r="J175" s="5"/>
      <c r="K175" s="47"/>
      <c r="L175" s="5"/>
      <c r="M175" s="45"/>
      <c r="N175" s="5"/>
      <c r="O175" s="45"/>
      <c r="P175" s="45"/>
      <c r="Q175" s="5"/>
      <c r="R175" s="5"/>
      <c r="S175" s="99"/>
    </row>
    <row r="176" spans="1:19" s="27" customFormat="1" ht="16.5" customHeight="1">
      <c r="A176" s="83"/>
      <c r="B176" s="89"/>
      <c r="C176" s="29"/>
      <c r="D176" s="5"/>
      <c r="E176" s="5"/>
      <c r="F176" s="47"/>
      <c r="G176" s="5"/>
      <c r="H176" s="47"/>
      <c r="I176" s="5"/>
      <c r="J176" s="5"/>
      <c r="K176" s="47"/>
      <c r="L176" s="5"/>
      <c r="M176" s="45"/>
      <c r="N176" s="5"/>
      <c r="O176" s="45"/>
      <c r="P176" s="45"/>
      <c r="Q176" s="5"/>
      <c r="R176" s="5"/>
      <c r="S176" s="99"/>
    </row>
    <row r="177" spans="1:19" s="27" customFormat="1" ht="16.5" customHeight="1">
      <c r="A177" s="83"/>
      <c r="B177" s="89"/>
      <c r="C177" s="29"/>
      <c r="D177" s="5"/>
      <c r="E177" s="5"/>
      <c r="F177" s="47"/>
      <c r="G177" s="5"/>
      <c r="H177" s="47"/>
      <c r="I177" s="5"/>
      <c r="J177" s="5"/>
      <c r="K177" s="47"/>
      <c r="L177" s="5"/>
      <c r="M177" s="45"/>
      <c r="N177" s="5"/>
      <c r="O177" s="45"/>
      <c r="P177" s="45"/>
      <c r="Q177" s="5"/>
      <c r="R177" s="5"/>
      <c r="S177" s="99"/>
    </row>
    <row r="178" spans="1:19" s="27" customFormat="1" ht="16.5" customHeight="1">
      <c r="A178" s="83"/>
      <c r="B178" s="89"/>
      <c r="C178" s="29"/>
      <c r="D178" s="5"/>
      <c r="E178" s="5"/>
      <c r="F178" s="47"/>
      <c r="G178" s="5"/>
      <c r="H178" s="47"/>
      <c r="I178" s="5"/>
      <c r="J178" s="5"/>
      <c r="K178" s="47"/>
      <c r="L178" s="5"/>
      <c r="M178" s="45"/>
      <c r="N178" s="5"/>
      <c r="O178" s="45"/>
      <c r="P178" s="45"/>
      <c r="Q178" s="5"/>
      <c r="R178" s="5"/>
      <c r="S178" s="99"/>
    </row>
    <row r="179" spans="1:19" s="27" customFormat="1" ht="16.5" customHeight="1">
      <c r="A179" s="83"/>
      <c r="B179" s="89"/>
      <c r="C179" s="29"/>
      <c r="D179" s="5"/>
      <c r="E179" s="5"/>
      <c r="F179" s="47"/>
      <c r="G179" s="5"/>
      <c r="H179" s="47"/>
      <c r="I179" s="5"/>
      <c r="J179" s="5"/>
      <c r="K179" s="47"/>
      <c r="L179" s="5"/>
      <c r="M179" s="45"/>
      <c r="N179" s="5"/>
      <c r="O179" s="45"/>
      <c r="P179" s="45"/>
      <c r="Q179" s="5"/>
      <c r="R179" s="5"/>
      <c r="S179" s="99"/>
    </row>
    <row r="180" spans="1:19" s="27" customFormat="1" ht="16.5" customHeight="1">
      <c r="A180" s="83"/>
      <c r="B180" s="89"/>
      <c r="C180" s="29"/>
      <c r="D180" s="5"/>
      <c r="E180" s="5"/>
      <c r="F180" s="47"/>
      <c r="G180" s="5"/>
      <c r="H180" s="47"/>
      <c r="I180" s="5"/>
      <c r="J180" s="5"/>
      <c r="K180" s="47"/>
      <c r="L180" s="5"/>
      <c r="M180" s="45"/>
      <c r="N180" s="5"/>
      <c r="O180" s="45"/>
      <c r="P180" s="45"/>
      <c r="Q180" s="5"/>
      <c r="R180" s="5"/>
      <c r="S180" s="99"/>
    </row>
    <row r="181" spans="1:19" s="27" customFormat="1" ht="16.5" customHeight="1">
      <c r="A181" s="83"/>
      <c r="B181" s="89"/>
      <c r="C181" s="29"/>
      <c r="D181" s="5"/>
      <c r="E181" s="5"/>
      <c r="F181" s="47"/>
      <c r="G181" s="5"/>
      <c r="H181" s="47"/>
      <c r="I181" s="5"/>
      <c r="J181" s="5"/>
      <c r="K181" s="47"/>
      <c r="L181" s="5"/>
      <c r="M181" s="45"/>
      <c r="N181" s="5"/>
      <c r="O181" s="45"/>
      <c r="P181" s="45"/>
      <c r="Q181" s="5"/>
      <c r="R181" s="5"/>
      <c r="S181" s="99"/>
    </row>
    <row r="182" spans="1:19" s="27" customFormat="1" ht="16.5" customHeight="1">
      <c r="A182" s="83"/>
      <c r="B182" s="89"/>
      <c r="C182" s="29"/>
      <c r="D182" s="5"/>
      <c r="E182" s="5"/>
      <c r="F182" s="47"/>
      <c r="G182" s="5"/>
      <c r="H182" s="47"/>
      <c r="I182" s="5"/>
      <c r="J182" s="5"/>
      <c r="K182" s="47"/>
      <c r="L182" s="5"/>
      <c r="M182" s="45"/>
      <c r="N182" s="5"/>
      <c r="O182" s="45"/>
      <c r="P182" s="45"/>
      <c r="Q182" s="5"/>
      <c r="R182" s="5"/>
      <c r="S182" s="99"/>
    </row>
    <row r="183" spans="1:19" s="27" customFormat="1" ht="16.5" customHeight="1" thickBot="1">
      <c r="A183" s="83"/>
      <c r="B183" s="88" t="s">
        <v>191</v>
      </c>
      <c r="C183" s="29"/>
      <c r="D183" s="5"/>
      <c r="E183" s="5"/>
      <c r="F183" s="47"/>
      <c r="G183" s="5"/>
      <c r="H183" s="47"/>
      <c r="I183" s="5"/>
      <c r="J183" s="5"/>
      <c r="K183" s="47"/>
      <c r="L183" s="5"/>
      <c r="M183" s="45"/>
      <c r="N183" s="5"/>
      <c r="O183" s="45"/>
      <c r="P183" s="45"/>
      <c r="Q183" s="5"/>
      <c r="R183" s="5"/>
      <c r="S183" s="99"/>
    </row>
    <row r="184" spans="1:19" s="27" customFormat="1" ht="16.5" customHeight="1">
      <c r="A184" s="83"/>
      <c r="B184" s="384"/>
      <c r="C184" s="385"/>
      <c r="D184" s="385"/>
      <c r="E184" s="385"/>
      <c r="F184" s="385"/>
      <c r="G184" s="385"/>
      <c r="H184" s="385"/>
      <c r="I184" s="385"/>
      <c r="J184" s="385"/>
      <c r="K184" s="385"/>
      <c r="L184" s="385"/>
      <c r="M184" s="385"/>
      <c r="N184" s="385"/>
      <c r="O184" s="385"/>
      <c r="P184" s="385"/>
      <c r="Q184" s="386"/>
      <c r="R184" s="5"/>
      <c r="S184" s="99"/>
    </row>
    <row r="185" spans="1:19" s="27" customFormat="1" ht="16.5" customHeight="1">
      <c r="A185" s="83"/>
      <c r="B185" s="381"/>
      <c r="C185" s="382"/>
      <c r="D185" s="382"/>
      <c r="E185" s="382"/>
      <c r="F185" s="382"/>
      <c r="G185" s="382"/>
      <c r="H185" s="382"/>
      <c r="I185" s="382"/>
      <c r="J185" s="382"/>
      <c r="K185" s="382"/>
      <c r="L185" s="382"/>
      <c r="M185" s="382"/>
      <c r="N185" s="382"/>
      <c r="O185" s="382"/>
      <c r="P185" s="382"/>
      <c r="Q185" s="383"/>
      <c r="R185" s="5"/>
      <c r="S185" s="99"/>
    </row>
    <row r="186" spans="1:19" s="27" customFormat="1" ht="16.5" customHeight="1">
      <c r="A186" s="83"/>
      <c r="B186" s="378"/>
      <c r="C186" s="379"/>
      <c r="D186" s="379"/>
      <c r="E186" s="379"/>
      <c r="F186" s="379"/>
      <c r="G186" s="379"/>
      <c r="H186" s="379"/>
      <c r="I186" s="379"/>
      <c r="J186" s="379"/>
      <c r="K186" s="379"/>
      <c r="L186" s="379"/>
      <c r="M186" s="379"/>
      <c r="N186" s="379"/>
      <c r="O186" s="379"/>
      <c r="P186" s="379"/>
      <c r="Q186" s="380"/>
      <c r="R186" s="5"/>
      <c r="S186" s="99"/>
    </row>
    <row r="187" spans="1:19" s="27" customFormat="1" ht="16.5" customHeight="1">
      <c r="A187" s="83"/>
      <c r="B187" s="378"/>
      <c r="C187" s="379"/>
      <c r="D187" s="379"/>
      <c r="E187" s="379"/>
      <c r="F187" s="379"/>
      <c r="G187" s="379"/>
      <c r="H187" s="379"/>
      <c r="I187" s="379"/>
      <c r="J187" s="379"/>
      <c r="K187" s="379"/>
      <c r="L187" s="379"/>
      <c r="M187" s="379"/>
      <c r="N187" s="379"/>
      <c r="O187" s="379"/>
      <c r="P187" s="379"/>
      <c r="Q187" s="380"/>
      <c r="R187" s="5"/>
      <c r="S187" s="99"/>
    </row>
    <row r="188" spans="1:19" s="27" customFormat="1" ht="16.5" customHeight="1">
      <c r="A188" s="83"/>
      <c r="B188" s="378"/>
      <c r="C188" s="379"/>
      <c r="D188" s="379"/>
      <c r="E188" s="379"/>
      <c r="F188" s="379"/>
      <c r="G188" s="379"/>
      <c r="H188" s="379"/>
      <c r="I188" s="379"/>
      <c r="J188" s="379"/>
      <c r="K188" s="379"/>
      <c r="L188" s="379"/>
      <c r="M188" s="379"/>
      <c r="N188" s="379"/>
      <c r="O188" s="379"/>
      <c r="P188" s="379"/>
      <c r="Q188" s="380"/>
      <c r="R188" s="5"/>
      <c r="S188" s="99"/>
    </row>
    <row r="189" spans="1:19" s="27" customFormat="1" ht="16.5" customHeight="1" thickBot="1">
      <c r="A189" s="83"/>
      <c r="B189" s="375"/>
      <c r="C189" s="376"/>
      <c r="D189" s="376"/>
      <c r="E189" s="376"/>
      <c r="F189" s="376"/>
      <c r="G189" s="376"/>
      <c r="H189" s="376"/>
      <c r="I189" s="376"/>
      <c r="J189" s="376"/>
      <c r="K189" s="376"/>
      <c r="L189" s="376"/>
      <c r="M189" s="376"/>
      <c r="N189" s="376"/>
      <c r="O189" s="376"/>
      <c r="P189" s="376"/>
      <c r="Q189" s="377"/>
      <c r="R189" s="5"/>
      <c r="S189" s="99"/>
    </row>
    <row r="190" spans="1:19" s="90" customFormat="1">
      <c r="S190" s="100"/>
    </row>
    <row r="191" spans="1:19" s="90" customFormat="1">
      <c r="B191" s="85" t="s">
        <v>181</v>
      </c>
      <c r="S191" s="100"/>
    </row>
    <row r="192" spans="1:19" s="90" customFormat="1">
      <c r="D192" s="374" t="s">
        <v>183</v>
      </c>
      <c r="E192" s="374"/>
      <c r="F192" s="374"/>
      <c r="H192" s="374" t="s">
        <v>4</v>
      </c>
      <c r="I192" s="374"/>
      <c r="J192" s="374"/>
      <c r="S192" s="100"/>
    </row>
    <row r="193" spans="2:19" s="90" customFormat="1">
      <c r="D193" s="308"/>
      <c r="E193" s="308"/>
      <c r="F193" s="308"/>
      <c r="H193" s="308"/>
      <c r="I193" s="308"/>
      <c r="J193" s="308"/>
      <c r="S193" s="100"/>
    </row>
    <row r="194" spans="2:19" s="90" customFormat="1">
      <c r="B194" s="85" t="str">
        <f>'Financial Data Input'!A205</f>
        <v>Division 1</v>
      </c>
      <c r="D194" s="310" t="s">
        <v>7</v>
      </c>
      <c r="E194" s="310" t="s">
        <v>182</v>
      </c>
      <c r="F194" s="310" t="s">
        <v>20</v>
      </c>
      <c r="G194" s="310"/>
      <c r="H194" s="310" t="s">
        <v>7</v>
      </c>
      <c r="I194" s="310" t="s">
        <v>182</v>
      </c>
      <c r="J194" s="310" t="s">
        <v>20</v>
      </c>
      <c r="L194" s="355"/>
      <c r="M194" s="356"/>
      <c r="N194" s="356"/>
      <c r="O194" s="356"/>
      <c r="P194" s="356"/>
      <c r="Q194" s="357"/>
      <c r="S194" s="100"/>
    </row>
    <row r="195" spans="2:19" s="90" customFormat="1">
      <c r="L195" s="358"/>
      <c r="M195" s="359"/>
      <c r="N195" s="359"/>
      <c r="O195" s="359"/>
      <c r="P195" s="359"/>
      <c r="Q195" s="360"/>
      <c r="S195" s="100"/>
    </row>
    <row r="196" spans="2:19" s="90" customFormat="1">
      <c r="B196" s="90" t="str">
        <f>'Financial Data Input'!A207</f>
        <v>Income</v>
      </c>
      <c r="D196" s="134">
        <f>HLOOKUP(EOMONTH($G$5,0),'Financial Data Input'!$A$203:$O$233,'Financial Data Input'!C131,FALSE)</f>
        <v>10</v>
      </c>
      <c r="E196" s="134">
        <f>HLOOKUP(EOMONTH($G$5,0),'Financial Data Input'!$A$236:$O$266,'Financial Data Input'!C131,FALSE)</f>
        <v>8</v>
      </c>
      <c r="F196" s="134">
        <f t="shared" ref="F196:F198" si="28">D196-E196</f>
        <v>2</v>
      </c>
      <c r="H196" s="90">
        <f>'Financial Data Input'!Q207</f>
        <v>60</v>
      </c>
      <c r="I196" s="134">
        <f ca="1">SUMIF('Financial Data Input'!$D$3:$O$3,"include",'Financial Data Input'!D240:L242)</f>
        <v>16</v>
      </c>
      <c r="J196" s="134">
        <f ca="1">H196-I196</f>
        <v>44</v>
      </c>
      <c r="L196" s="358"/>
      <c r="M196" s="359"/>
      <c r="N196" s="359"/>
      <c r="O196" s="359"/>
      <c r="P196" s="359"/>
      <c r="Q196" s="360"/>
      <c r="S196" s="100"/>
    </row>
    <row r="197" spans="2:19" s="90" customFormat="1">
      <c r="B197" s="90" t="str">
        <f>'Financial Data Input'!A208</f>
        <v>Expenses</v>
      </c>
      <c r="D197" s="134">
        <f>HLOOKUP(EOMONTH($G$5,0),'Financial Data Input'!$A$203:$O$233,'Financial Data Input'!C132,FALSE)</f>
        <v>5</v>
      </c>
      <c r="E197" s="134">
        <f>HLOOKUP(EOMONTH($G$5,0),'Financial Data Input'!$A$236:$O$266,'Financial Data Input'!C132,FALSE)</f>
        <v>5</v>
      </c>
      <c r="F197" s="134">
        <f t="shared" si="28"/>
        <v>0</v>
      </c>
      <c r="H197" s="90">
        <f>'Financial Data Input'!Q208</f>
        <v>28</v>
      </c>
      <c r="I197" s="134">
        <f ca="1">SUMIF('Financial Data Input'!$D$3:$O$3,"include",'Financial Data Input'!D241:L243)</f>
        <v>10</v>
      </c>
      <c r="J197" s="134">
        <f t="shared" ref="J197:J198" ca="1" si="29">H197-I197</f>
        <v>18</v>
      </c>
      <c r="L197" s="358"/>
      <c r="M197" s="359"/>
      <c r="N197" s="359"/>
      <c r="O197" s="359"/>
      <c r="P197" s="359"/>
      <c r="Q197" s="360"/>
      <c r="S197" s="100"/>
    </row>
    <row r="198" spans="2:19" s="90" customFormat="1">
      <c r="B198" s="90" t="str">
        <f>'Financial Data Input'!A209</f>
        <v>Surplus (Deficit)</v>
      </c>
      <c r="D198" s="142">
        <f>HLOOKUP(EOMONTH($G$5,0),'Financial Data Input'!$A$203:$O$233,'Financial Data Input'!C133,FALSE)</f>
        <v>5</v>
      </c>
      <c r="E198" s="142">
        <f>HLOOKUP(EOMONTH($G$5,0),'Financial Data Input'!$A$236:$O$266,'Financial Data Input'!C133,FALSE)</f>
        <v>3</v>
      </c>
      <c r="F198" s="142">
        <f t="shared" si="28"/>
        <v>2</v>
      </c>
      <c r="H198" s="311">
        <f>'Financial Data Input'!Q209</f>
        <v>32</v>
      </c>
      <c r="I198" s="142">
        <f ca="1">SUMIF('Financial Data Input'!$D$3:$O$3,"include",'Financial Data Input'!D242:L244)</f>
        <v>6</v>
      </c>
      <c r="J198" s="142">
        <f t="shared" ca="1" si="29"/>
        <v>26</v>
      </c>
      <c r="L198" s="361"/>
      <c r="M198" s="362"/>
      <c r="N198" s="362"/>
      <c r="O198" s="362"/>
      <c r="P198" s="362"/>
      <c r="Q198" s="363"/>
      <c r="S198" s="100"/>
    </row>
    <row r="199" spans="2:19" s="90" customFormat="1">
      <c r="S199" s="100"/>
    </row>
    <row r="200" spans="2:19" s="90" customFormat="1">
      <c r="B200" s="85" t="str">
        <f>'Financial Data Input'!A211</f>
        <v>Division 2</v>
      </c>
      <c r="D200" s="310" t="s">
        <v>7</v>
      </c>
      <c r="E200" s="310" t="s">
        <v>182</v>
      </c>
      <c r="F200" s="310" t="s">
        <v>20</v>
      </c>
      <c r="G200" s="310"/>
      <c r="H200" s="310" t="s">
        <v>7</v>
      </c>
      <c r="I200" s="310" t="s">
        <v>182</v>
      </c>
      <c r="J200" s="310" t="s">
        <v>20</v>
      </c>
      <c r="L200" s="355"/>
      <c r="M200" s="356"/>
      <c r="N200" s="356"/>
      <c r="O200" s="356"/>
      <c r="P200" s="356"/>
      <c r="Q200" s="357"/>
      <c r="S200" s="100"/>
    </row>
    <row r="201" spans="2:19" s="90" customFormat="1">
      <c r="B201" s="85"/>
      <c r="D201" s="306"/>
      <c r="E201" s="306"/>
      <c r="F201" s="306"/>
      <c r="G201" s="307"/>
      <c r="H201" s="306"/>
      <c r="I201" s="306"/>
      <c r="J201" s="306"/>
      <c r="L201" s="358"/>
      <c r="M201" s="359"/>
      <c r="N201" s="359"/>
      <c r="O201" s="359"/>
      <c r="P201" s="359"/>
      <c r="Q201" s="360"/>
      <c r="S201" s="100"/>
    </row>
    <row r="202" spans="2:19" s="90" customFormat="1">
      <c r="B202" s="305" t="str">
        <f>'Financial Data Input'!A213</f>
        <v>Income</v>
      </c>
      <c r="D202" s="134">
        <f>HLOOKUP(EOMONTH($G$5,0),'Financial Data Input'!$A$203:$O$233,'Financial Data Input'!C137,FALSE)</f>
        <v>10</v>
      </c>
      <c r="E202" s="134">
        <f>HLOOKUP(EOMONTH($G$5,0),'Financial Data Input'!$A$236:$O$266,'Financial Data Input'!C137,FALSE)</f>
        <v>7</v>
      </c>
      <c r="F202" s="134">
        <f t="shared" ref="F202:F204" si="30">D202-E202</f>
        <v>3</v>
      </c>
      <c r="H202" s="90">
        <f>'Financial Data Input'!Q213</f>
        <v>65</v>
      </c>
      <c r="I202" s="134">
        <f ca="1">SUMIF('Financial Data Input'!$D$3:$O$3,"include",'Financial Data Input'!D246:L248)</f>
        <v>14</v>
      </c>
      <c r="J202" s="134">
        <f ca="1">H202-I202</f>
        <v>51</v>
      </c>
      <c r="L202" s="358"/>
      <c r="M202" s="359"/>
      <c r="N202" s="359"/>
      <c r="O202" s="359"/>
      <c r="P202" s="359"/>
      <c r="Q202" s="360"/>
      <c r="S202" s="100"/>
    </row>
    <row r="203" spans="2:19" s="90" customFormat="1">
      <c r="B203" s="305" t="str">
        <f>'Financial Data Input'!A214</f>
        <v>Surplus (Deficit)</v>
      </c>
      <c r="D203" s="134">
        <f>HLOOKUP(EOMONTH($G$5,0),'Financial Data Input'!$A$203:$O$233,'Financial Data Input'!C138,FALSE)</f>
        <v>5</v>
      </c>
      <c r="E203" s="134">
        <f>HLOOKUP(EOMONTH($G$5,0),'Financial Data Input'!$A$236:$O$266,'Financial Data Input'!C138,FALSE)</f>
        <v>5</v>
      </c>
      <c r="F203" s="134">
        <f t="shared" si="30"/>
        <v>0</v>
      </c>
      <c r="H203" s="90">
        <f>'Financial Data Input'!Q214</f>
        <v>27</v>
      </c>
      <c r="I203" s="134">
        <f ca="1">SUMIF('Financial Data Input'!$D$3:$O$3,"include",'Financial Data Input'!D247:L249)</f>
        <v>10</v>
      </c>
      <c r="J203" s="134">
        <f t="shared" ref="J203:J204" ca="1" si="31">H203-I203</f>
        <v>17</v>
      </c>
      <c r="L203" s="358"/>
      <c r="M203" s="359"/>
      <c r="N203" s="359"/>
      <c r="O203" s="359"/>
      <c r="P203" s="359"/>
      <c r="Q203" s="360"/>
      <c r="S203" s="100"/>
    </row>
    <row r="204" spans="2:19" s="90" customFormat="1">
      <c r="B204" s="305" t="str">
        <f>'Financial Data Input'!A215</f>
        <v>Surplus</v>
      </c>
      <c r="D204" s="142">
        <f>HLOOKUP(EOMONTH($G$5,0),'Financial Data Input'!$A$203:$O$233,'Financial Data Input'!C139,FALSE)</f>
        <v>5</v>
      </c>
      <c r="E204" s="142">
        <f>HLOOKUP(EOMONTH($G$5,0),'Financial Data Input'!$A$236:$O$266,'Financial Data Input'!C139,FALSE)</f>
        <v>2</v>
      </c>
      <c r="F204" s="142">
        <f t="shared" si="30"/>
        <v>3</v>
      </c>
      <c r="H204" s="311">
        <f>'Financial Data Input'!Q215</f>
        <v>38</v>
      </c>
      <c r="I204" s="142">
        <f ca="1">SUMIF('Financial Data Input'!$D$3:$O$3,"include",'Financial Data Input'!D248:L250)</f>
        <v>4</v>
      </c>
      <c r="J204" s="142">
        <f t="shared" ca="1" si="31"/>
        <v>34</v>
      </c>
      <c r="L204" s="361"/>
      <c r="M204" s="362"/>
      <c r="N204" s="362"/>
      <c r="O204" s="362"/>
      <c r="P204" s="362"/>
      <c r="Q204" s="363"/>
      <c r="S204" s="100"/>
    </row>
    <row r="205" spans="2:19" s="90" customFormat="1">
      <c r="B205" s="85"/>
      <c r="S205" s="100"/>
    </row>
    <row r="206" spans="2:19" s="90" customFormat="1">
      <c r="B206" s="85" t="str">
        <f>'Financial Data Input'!A217</f>
        <v>Division 3</v>
      </c>
      <c r="D206" s="310" t="s">
        <v>7</v>
      </c>
      <c r="E206" s="310" t="s">
        <v>182</v>
      </c>
      <c r="F206" s="310" t="s">
        <v>20</v>
      </c>
      <c r="G206" s="310"/>
      <c r="H206" s="310" t="s">
        <v>7</v>
      </c>
      <c r="I206" s="310" t="s">
        <v>182</v>
      </c>
      <c r="J206" s="310" t="s">
        <v>20</v>
      </c>
      <c r="L206" s="355"/>
      <c r="M206" s="356"/>
      <c r="N206" s="356"/>
      <c r="O206" s="356"/>
      <c r="P206" s="356"/>
      <c r="Q206" s="357"/>
      <c r="S206" s="100"/>
    </row>
    <row r="207" spans="2:19" s="90" customFormat="1">
      <c r="B207" s="85"/>
      <c r="D207" s="134"/>
      <c r="L207" s="358"/>
      <c r="M207" s="359"/>
      <c r="N207" s="359"/>
      <c r="O207" s="359"/>
      <c r="P207" s="359"/>
      <c r="Q207" s="360"/>
      <c r="S207" s="100"/>
    </row>
    <row r="208" spans="2:19" s="90" customFormat="1">
      <c r="B208" s="305" t="str">
        <f>'Financial Data Input'!A219</f>
        <v>Income</v>
      </c>
      <c r="D208" s="134">
        <f>HLOOKUP(EOMONTH($G$5,0),'Financial Data Input'!$A$203:$O$233,'Financial Data Input'!C143,FALSE)</f>
        <v>10</v>
      </c>
      <c r="E208" s="134">
        <f>HLOOKUP(EOMONTH($G$5,0),'Financial Data Input'!$A$236:$O$266,'Financial Data Input'!C143,FALSE)</f>
        <v>9</v>
      </c>
      <c r="F208" s="134">
        <f t="shared" ref="F208:F210" si="32">D208-E208</f>
        <v>1</v>
      </c>
      <c r="H208" s="90">
        <f>'Financial Data Input'!Q219</f>
        <v>58</v>
      </c>
      <c r="I208" s="134">
        <f ca="1">SUMIF('Financial Data Input'!$D$3:$O$3,"include",'Financial Data Input'!D252:L255)</f>
        <v>18</v>
      </c>
      <c r="J208" s="134">
        <f ca="1">H208-I208</f>
        <v>40</v>
      </c>
      <c r="L208" s="358"/>
      <c r="M208" s="359"/>
      <c r="N208" s="359"/>
      <c r="O208" s="359"/>
      <c r="P208" s="359"/>
      <c r="Q208" s="360"/>
      <c r="S208" s="100"/>
    </row>
    <row r="209" spans="2:19" s="90" customFormat="1">
      <c r="B209" s="305" t="str">
        <f>'Financial Data Input'!A220</f>
        <v>Expenses</v>
      </c>
      <c r="D209" s="134">
        <f>HLOOKUP(EOMONTH($G$5,0),'Financial Data Input'!$A$203:$O$233,'Financial Data Input'!C144,FALSE)</f>
        <v>5</v>
      </c>
      <c r="E209" s="134">
        <f>HLOOKUP(EOMONTH($G$5,0),'Financial Data Input'!$A$236:$O$266,'Financial Data Input'!C144,FALSE)</f>
        <v>5</v>
      </c>
      <c r="F209" s="134">
        <f t="shared" si="32"/>
        <v>0</v>
      </c>
      <c r="H209" s="90">
        <f>'Financial Data Input'!Q220</f>
        <v>26</v>
      </c>
      <c r="I209" s="134">
        <f ca="1">SUMIF('Financial Data Input'!$D$3:$O$3,"include",'Financial Data Input'!D253:L256)</f>
        <v>10</v>
      </c>
      <c r="J209" s="134">
        <f t="shared" ref="J209:J210" ca="1" si="33">H209-I209</f>
        <v>16</v>
      </c>
      <c r="L209" s="358"/>
      <c r="M209" s="359"/>
      <c r="N209" s="359"/>
      <c r="O209" s="359"/>
      <c r="P209" s="359"/>
      <c r="Q209" s="360"/>
      <c r="S209" s="100"/>
    </row>
    <row r="210" spans="2:19" s="90" customFormat="1">
      <c r="B210" s="305" t="str">
        <f>'Financial Data Input'!A221</f>
        <v>Surplus (Deficit)</v>
      </c>
      <c r="D210" s="142">
        <f>HLOOKUP(EOMONTH($G$5,0),'Financial Data Input'!$A$203:$O$233,'Financial Data Input'!C145,FALSE)</f>
        <v>5</v>
      </c>
      <c r="E210" s="142">
        <f>HLOOKUP(EOMONTH($G$5,0),'Financial Data Input'!$A$236:$O$266,'Financial Data Input'!C145,FALSE)</f>
        <v>4</v>
      </c>
      <c r="F210" s="142">
        <f t="shared" si="32"/>
        <v>1</v>
      </c>
      <c r="H210" s="311">
        <f>'Financial Data Input'!Q221</f>
        <v>32</v>
      </c>
      <c r="I210" s="142">
        <f ca="1">SUMIF('Financial Data Input'!$D$3:$O$3,"include",'Financial Data Input'!D254:L257)</f>
        <v>8</v>
      </c>
      <c r="J210" s="142">
        <f t="shared" ca="1" si="33"/>
        <v>24</v>
      </c>
      <c r="L210" s="361"/>
      <c r="M210" s="362"/>
      <c r="N210" s="362"/>
      <c r="O210" s="362"/>
      <c r="P210" s="362"/>
      <c r="Q210" s="363"/>
      <c r="S210" s="100"/>
    </row>
    <row r="211" spans="2:19" s="90" customFormat="1">
      <c r="B211" s="85"/>
      <c r="S211" s="100"/>
    </row>
    <row r="212" spans="2:19" s="90" customFormat="1">
      <c r="B212" s="85" t="str">
        <f>'Financial Data Input'!A223</f>
        <v>Division 4</v>
      </c>
      <c r="D212" s="310" t="s">
        <v>7</v>
      </c>
      <c r="E212" s="310" t="s">
        <v>182</v>
      </c>
      <c r="F212" s="310" t="s">
        <v>20</v>
      </c>
      <c r="G212" s="310"/>
      <c r="H212" s="310" t="s">
        <v>7</v>
      </c>
      <c r="I212" s="310" t="s">
        <v>182</v>
      </c>
      <c r="J212" s="310" t="s">
        <v>20</v>
      </c>
      <c r="L212" s="355"/>
      <c r="M212" s="356"/>
      <c r="N212" s="356"/>
      <c r="O212" s="356"/>
      <c r="P212" s="356"/>
      <c r="Q212" s="357"/>
      <c r="S212" s="100"/>
    </row>
    <row r="213" spans="2:19" s="90" customFormat="1">
      <c r="B213" s="85"/>
      <c r="D213" s="134"/>
      <c r="L213" s="358"/>
      <c r="M213" s="359"/>
      <c r="N213" s="359"/>
      <c r="O213" s="359"/>
      <c r="P213" s="359"/>
      <c r="Q213" s="360"/>
      <c r="S213" s="100"/>
    </row>
    <row r="214" spans="2:19" s="90" customFormat="1">
      <c r="B214" s="305" t="str">
        <f>'Financial Data Input'!A225</f>
        <v>Income</v>
      </c>
      <c r="D214" s="134">
        <f>HLOOKUP(EOMONTH($G$5,0),'Financial Data Input'!$A$203:$O$233,'Financial Data Input'!C149,FALSE)</f>
        <v>10</v>
      </c>
      <c r="E214" s="134">
        <f>HLOOKUP(EOMONTH($G$5,0),'Financial Data Input'!$A$236:$O$266,'Financial Data Input'!C149,FALSE)</f>
        <v>10</v>
      </c>
      <c r="F214" s="134">
        <f t="shared" ref="F214:F216" si="34">D214-E214</f>
        <v>0</v>
      </c>
      <c r="H214" s="90">
        <f>'Financial Data Input'!Q225</f>
        <v>57</v>
      </c>
      <c r="I214" s="134">
        <f ca="1">SUMIF('Financial Data Input'!$D$3:$O$3,"include",'Financial Data Input'!D258:L261)</f>
        <v>20</v>
      </c>
      <c r="J214" s="134">
        <f ca="1">H214-I214</f>
        <v>37</v>
      </c>
      <c r="L214" s="358"/>
      <c r="M214" s="359"/>
      <c r="N214" s="359"/>
      <c r="O214" s="359"/>
      <c r="P214" s="359"/>
      <c r="Q214" s="360"/>
      <c r="S214" s="100"/>
    </row>
    <row r="215" spans="2:19" s="90" customFormat="1">
      <c r="B215" s="305" t="str">
        <f>'Financial Data Input'!A226</f>
        <v>Expenses</v>
      </c>
      <c r="D215" s="134">
        <f>HLOOKUP(EOMONTH($G$5,0),'Financial Data Input'!$A$203:$O$233,'Financial Data Input'!C150,FALSE)</f>
        <v>5</v>
      </c>
      <c r="E215" s="134">
        <f>HLOOKUP(EOMONTH($G$5,0),'Financial Data Input'!$A$236:$O$266,'Financial Data Input'!C150,FALSE)</f>
        <v>5</v>
      </c>
      <c r="F215" s="134">
        <f t="shared" si="34"/>
        <v>0</v>
      </c>
      <c r="H215" s="90">
        <f>'Financial Data Input'!Q226</f>
        <v>25</v>
      </c>
      <c r="I215" s="134">
        <f ca="1">SUMIF('Financial Data Input'!$D$3:$O$3,"include",'Financial Data Input'!D259:L262)</f>
        <v>10</v>
      </c>
      <c r="J215" s="134">
        <f t="shared" ref="J215:J216" ca="1" si="35">H215-I215</f>
        <v>15</v>
      </c>
      <c r="L215" s="358"/>
      <c r="M215" s="359"/>
      <c r="N215" s="359"/>
      <c r="O215" s="359"/>
      <c r="P215" s="359"/>
      <c r="Q215" s="360"/>
      <c r="S215" s="100"/>
    </row>
    <row r="216" spans="2:19" s="90" customFormat="1">
      <c r="B216" s="305" t="str">
        <f>'Financial Data Input'!A227</f>
        <v>Surplus (Deficit)</v>
      </c>
      <c r="D216" s="142">
        <f>HLOOKUP(EOMONTH($G$5,0),'Financial Data Input'!$A$203:$O$233,'Financial Data Input'!C151,FALSE)</f>
        <v>5</v>
      </c>
      <c r="E216" s="142">
        <f>HLOOKUP(EOMONTH($G$5,0),'Financial Data Input'!$A$236:$O$266,'Financial Data Input'!C151,FALSE)</f>
        <v>5</v>
      </c>
      <c r="F216" s="142">
        <f t="shared" si="34"/>
        <v>0</v>
      </c>
      <c r="H216" s="311">
        <f>'Financial Data Input'!Q227</f>
        <v>32</v>
      </c>
      <c r="I216" s="142">
        <f ca="1">SUMIF('Financial Data Input'!$D$3:$O$3,"include",'Financial Data Input'!D260:L263)</f>
        <v>10</v>
      </c>
      <c r="J216" s="142">
        <f t="shared" ca="1" si="35"/>
        <v>22</v>
      </c>
      <c r="L216" s="361"/>
      <c r="M216" s="362"/>
      <c r="N216" s="362"/>
      <c r="O216" s="362"/>
      <c r="P216" s="362"/>
      <c r="Q216" s="363"/>
      <c r="S216" s="100"/>
    </row>
    <row r="217" spans="2:19" s="90" customFormat="1">
      <c r="B217" s="85"/>
      <c r="S217" s="100"/>
    </row>
    <row r="218" spans="2:19" s="90" customFormat="1">
      <c r="B218" s="85" t="str">
        <f>'Financial Data Input'!A229</f>
        <v>Division 5</v>
      </c>
      <c r="D218" s="310" t="s">
        <v>7</v>
      </c>
      <c r="E218" s="310" t="s">
        <v>182</v>
      </c>
      <c r="F218" s="310" t="s">
        <v>20</v>
      </c>
      <c r="G218" s="310"/>
      <c r="H218" s="310" t="s">
        <v>7</v>
      </c>
      <c r="I218" s="310" t="s">
        <v>182</v>
      </c>
      <c r="J218" s="310" t="s">
        <v>20</v>
      </c>
      <c r="L218" s="364" t="s">
        <v>184</v>
      </c>
      <c r="M218" s="356"/>
      <c r="N218" s="356"/>
      <c r="O218" s="356"/>
      <c r="P218" s="356"/>
      <c r="Q218" s="357"/>
      <c r="S218" s="100"/>
    </row>
    <row r="219" spans="2:19" s="90" customFormat="1">
      <c r="B219" s="85"/>
      <c r="D219" s="134"/>
      <c r="L219" s="358"/>
      <c r="M219" s="359"/>
      <c r="N219" s="359"/>
      <c r="O219" s="359"/>
      <c r="P219" s="359"/>
      <c r="Q219" s="360"/>
      <c r="S219" s="100"/>
    </row>
    <row r="220" spans="2:19" s="90" customFormat="1">
      <c r="B220" s="305" t="str">
        <f>'Financial Data Input'!A231</f>
        <v>Income</v>
      </c>
      <c r="D220" s="134">
        <f>HLOOKUP(EOMONTH($G$5,0),'Financial Data Input'!$A$203:$O$233,'Financial Data Input'!C155,FALSE)</f>
        <v>10</v>
      </c>
      <c r="E220" s="134">
        <f>HLOOKUP(EOMONTH($G$5,0),'Financial Data Input'!$A$236:$O$266,'Financial Data Input'!C155,FALSE)</f>
        <v>20</v>
      </c>
      <c r="F220" s="134">
        <f t="shared" ref="F220:F222" si="36">D220-E220</f>
        <v>-10</v>
      </c>
      <c r="H220" s="90">
        <f>'Financial Data Input'!Q231</f>
        <v>56</v>
      </c>
      <c r="I220" s="134">
        <f ca="1">SUMIF('Financial Data Input'!$D$3:$O$3,"include",'Financial Data Input'!D264:L267)</f>
        <v>40</v>
      </c>
      <c r="J220" s="134">
        <f ca="1">H220-I220</f>
        <v>16</v>
      </c>
      <c r="L220" s="358"/>
      <c r="M220" s="359"/>
      <c r="N220" s="359"/>
      <c r="O220" s="359"/>
      <c r="P220" s="359"/>
      <c r="Q220" s="360"/>
      <c r="S220" s="100"/>
    </row>
    <row r="221" spans="2:19" s="90" customFormat="1">
      <c r="B221" s="305" t="str">
        <f>'Financial Data Input'!A232</f>
        <v>Expenses</v>
      </c>
      <c r="D221" s="134">
        <f>HLOOKUP(EOMONTH($G$5,0),'Financial Data Input'!$A$203:$O$233,'Financial Data Input'!C156,FALSE)</f>
        <v>5</v>
      </c>
      <c r="E221" s="134">
        <f>HLOOKUP(EOMONTH($G$5,0),'Financial Data Input'!$A$236:$O$266,'Financial Data Input'!C156,FALSE)</f>
        <v>5</v>
      </c>
      <c r="F221" s="134">
        <f t="shared" si="36"/>
        <v>0</v>
      </c>
      <c r="H221" s="90">
        <f>'Financial Data Input'!Q232</f>
        <v>24</v>
      </c>
      <c r="I221" s="134">
        <f ca="1">SUMIF('Financial Data Input'!$D$3:$O$3,"include",'Financial Data Input'!D265:L268)</f>
        <v>10</v>
      </c>
      <c r="J221" s="134">
        <f t="shared" ref="J221:J222" ca="1" si="37">H221-I221</f>
        <v>14</v>
      </c>
      <c r="L221" s="358"/>
      <c r="M221" s="359"/>
      <c r="N221" s="359"/>
      <c r="O221" s="359"/>
      <c r="P221" s="359"/>
      <c r="Q221" s="360"/>
      <c r="S221" s="100"/>
    </row>
    <row r="222" spans="2:19" s="90" customFormat="1">
      <c r="B222" s="305" t="str">
        <f>'Financial Data Input'!A233</f>
        <v>Surplus (Deficit)</v>
      </c>
      <c r="D222" s="142">
        <f>HLOOKUP(EOMONTH($G$5,0),'Financial Data Input'!$A$203:$O$233,'Financial Data Input'!C157,FALSE)</f>
        <v>5</v>
      </c>
      <c r="E222" s="142">
        <f>HLOOKUP(EOMONTH($G$5,0),'Financial Data Input'!$A$236:$O$266,'Financial Data Input'!C157,FALSE)</f>
        <v>15</v>
      </c>
      <c r="F222" s="142">
        <f t="shared" si="36"/>
        <v>-10</v>
      </c>
      <c r="H222" s="311">
        <f>'Financial Data Input'!Q233</f>
        <v>32</v>
      </c>
      <c r="I222" s="142">
        <f ca="1">SUMIF('Financial Data Input'!$D$3:$O$3,"include",'Financial Data Input'!D266:L269)</f>
        <v>30</v>
      </c>
      <c r="J222" s="142">
        <f t="shared" ca="1" si="37"/>
        <v>2</v>
      </c>
      <c r="L222" s="361"/>
      <c r="M222" s="362"/>
      <c r="N222" s="362"/>
      <c r="O222" s="362"/>
      <c r="P222" s="362"/>
      <c r="Q222" s="363"/>
      <c r="S222" s="100"/>
    </row>
    <row r="223" spans="2:19" s="90" customFormat="1">
      <c r="B223" s="305"/>
      <c r="D223" s="134"/>
      <c r="E223" s="134"/>
      <c r="F223" s="134"/>
      <c r="H223" s="273"/>
      <c r="I223" s="134"/>
      <c r="J223" s="134"/>
      <c r="L223" s="316"/>
      <c r="M223" s="316"/>
      <c r="N223" s="316"/>
      <c r="O223" s="316"/>
      <c r="P223" s="316"/>
      <c r="Q223" s="316"/>
      <c r="S223" s="100"/>
    </row>
    <row r="224" spans="2:19" s="90" customFormat="1">
      <c r="B224" s="305"/>
      <c r="D224" s="134"/>
      <c r="E224" s="134"/>
      <c r="F224" s="134"/>
      <c r="H224" s="273"/>
      <c r="I224" s="134"/>
      <c r="J224" s="134"/>
      <c r="L224" s="316"/>
      <c r="M224" s="316"/>
      <c r="N224" s="316"/>
      <c r="O224" s="316"/>
      <c r="P224" s="316"/>
      <c r="Q224" s="316"/>
      <c r="S224" s="100"/>
    </row>
    <row r="225" spans="2:19" s="90" customFormat="1">
      <c r="B225" s="305"/>
      <c r="D225" s="134"/>
      <c r="E225" s="134"/>
      <c r="F225" s="134"/>
      <c r="H225" s="273"/>
      <c r="I225" s="134"/>
      <c r="J225" s="134"/>
      <c r="L225" s="316"/>
      <c r="M225" s="316"/>
      <c r="N225" s="316"/>
      <c r="O225" s="316"/>
      <c r="P225" s="316"/>
      <c r="Q225" s="316"/>
      <c r="S225" s="100"/>
    </row>
    <row r="226" spans="2:19" s="90" customFormat="1">
      <c r="B226" s="305"/>
      <c r="D226" s="134"/>
      <c r="E226" s="134"/>
      <c r="F226" s="134"/>
      <c r="H226" s="273"/>
      <c r="I226" s="134"/>
      <c r="J226" s="134"/>
      <c r="L226" s="316"/>
      <c r="M226" s="316"/>
      <c r="N226" s="316"/>
      <c r="O226" s="316"/>
      <c r="P226" s="316"/>
      <c r="Q226" s="316"/>
      <c r="S226" s="100"/>
    </row>
    <row r="227" spans="2:19" s="90" customFormat="1">
      <c r="B227" s="305"/>
      <c r="D227" s="134"/>
      <c r="E227" s="134"/>
      <c r="F227" s="134"/>
      <c r="H227" s="273"/>
      <c r="I227" s="134"/>
      <c r="J227" s="134"/>
      <c r="L227" s="316"/>
      <c r="M227" s="316"/>
      <c r="N227" s="316"/>
      <c r="O227" s="316"/>
      <c r="P227" s="316"/>
      <c r="Q227" s="316"/>
      <c r="S227" s="100"/>
    </row>
    <row r="228" spans="2:19" s="90" customFormat="1">
      <c r="B228" s="305"/>
      <c r="D228" s="134"/>
      <c r="E228" s="134"/>
      <c r="F228" s="134"/>
      <c r="H228" s="273"/>
      <c r="I228" s="134"/>
      <c r="J228" s="134"/>
      <c r="L228" s="316"/>
      <c r="M228" s="316"/>
      <c r="N228" s="316"/>
      <c r="O228" s="316"/>
      <c r="P228" s="316"/>
      <c r="Q228" s="316"/>
      <c r="S228" s="100"/>
    </row>
    <row r="229" spans="2:19" s="90" customFormat="1">
      <c r="B229" s="305"/>
      <c r="D229" s="134"/>
      <c r="E229" s="134"/>
      <c r="F229" s="134"/>
      <c r="H229" s="273"/>
      <c r="I229" s="134"/>
      <c r="J229" s="134"/>
      <c r="L229" s="316"/>
      <c r="M229" s="316"/>
      <c r="N229" s="316"/>
      <c r="O229" s="316"/>
      <c r="P229" s="316"/>
      <c r="Q229" s="316"/>
      <c r="S229" s="100"/>
    </row>
    <row r="230" spans="2:19" s="90" customFormat="1">
      <c r="B230" s="305"/>
      <c r="D230" s="134"/>
      <c r="E230" s="134"/>
      <c r="F230" s="134"/>
      <c r="H230" s="273"/>
      <c r="I230" s="134"/>
      <c r="J230" s="134"/>
      <c r="L230" s="316"/>
      <c r="M230" s="316"/>
      <c r="N230" s="316"/>
      <c r="O230" s="316"/>
      <c r="P230" s="316"/>
      <c r="Q230" s="316"/>
      <c r="S230" s="100"/>
    </row>
    <row r="231" spans="2:19" s="90" customFormat="1">
      <c r="B231" s="305"/>
      <c r="D231" s="134"/>
      <c r="E231" s="134"/>
      <c r="F231" s="134"/>
      <c r="H231" s="273"/>
      <c r="I231" s="134"/>
      <c r="J231" s="134"/>
      <c r="L231" s="316"/>
      <c r="M231" s="316"/>
      <c r="N231" s="316"/>
      <c r="O231" s="316"/>
      <c r="P231" s="316"/>
      <c r="Q231" s="316"/>
      <c r="S231" s="100"/>
    </row>
    <row r="232" spans="2:19" s="90" customFormat="1">
      <c r="B232" s="305"/>
      <c r="D232" s="134"/>
      <c r="E232" s="134"/>
      <c r="F232" s="134"/>
      <c r="H232" s="273"/>
      <c r="I232" s="134"/>
      <c r="J232" s="134"/>
      <c r="L232" s="316"/>
      <c r="M232" s="316"/>
      <c r="N232" s="316"/>
      <c r="O232" s="316"/>
      <c r="P232" s="316"/>
      <c r="Q232" s="316"/>
      <c r="S232" s="100"/>
    </row>
    <row r="233" spans="2:19" s="90" customFormat="1">
      <c r="B233" s="305"/>
      <c r="D233" s="134"/>
      <c r="E233" s="134"/>
      <c r="F233" s="134"/>
      <c r="H233" s="273"/>
      <c r="I233" s="134"/>
      <c r="J233" s="134"/>
      <c r="L233" s="316"/>
      <c r="M233" s="316"/>
      <c r="N233" s="316"/>
      <c r="O233" s="316"/>
      <c r="P233" s="316"/>
      <c r="Q233" s="316"/>
      <c r="S233" s="100"/>
    </row>
    <row r="234" spans="2:19" s="90" customFormat="1">
      <c r="B234" s="305"/>
      <c r="D234" s="134"/>
      <c r="E234" s="134"/>
      <c r="F234" s="134"/>
      <c r="H234" s="273"/>
      <c r="I234" s="134"/>
      <c r="J234" s="134"/>
      <c r="L234" s="316"/>
      <c r="M234" s="316"/>
      <c r="N234" s="316"/>
      <c r="O234" s="316"/>
      <c r="P234" s="316"/>
      <c r="Q234" s="316"/>
      <c r="S234" s="100"/>
    </row>
    <row r="235" spans="2:19" s="90" customFormat="1">
      <c r="B235" s="305"/>
      <c r="D235" s="134"/>
      <c r="E235" s="134"/>
      <c r="F235" s="134"/>
      <c r="H235" s="273"/>
      <c r="I235" s="134"/>
      <c r="J235" s="134"/>
      <c r="L235" s="316"/>
      <c r="M235" s="316"/>
      <c r="N235" s="316"/>
      <c r="O235" s="316"/>
      <c r="P235" s="316"/>
      <c r="Q235" s="316"/>
      <c r="S235" s="100"/>
    </row>
    <row r="236" spans="2:19" s="90" customFormat="1">
      <c r="B236" s="305"/>
      <c r="D236" s="134"/>
      <c r="E236" s="134"/>
      <c r="F236" s="134"/>
      <c r="H236" s="273"/>
      <c r="I236" s="134"/>
      <c r="J236" s="134"/>
      <c r="L236" s="316"/>
      <c r="M236" s="316"/>
      <c r="N236" s="316"/>
      <c r="O236" s="316"/>
      <c r="P236" s="316"/>
      <c r="Q236" s="316"/>
      <c r="S236" s="100"/>
    </row>
    <row r="237" spans="2:19" s="90" customFormat="1">
      <c r="B237" s="305"/>
      <c r="D237" s="134"/>
      <c r="E237" s="134"/>
      <c r="F237" s="134"/>
      <c r="H237" s="273"/>
      <c r="I237" s="134"/>
      <c r="J237" s="134"/>
      <c r="L237" s="316"/>
      <c r="M237" s="316"/>
      <c r="N237" s="316"/>
      <c r="O237" s="316"/>
      <c r="P237" s="316"/>
      <c r="Q237" s="316"/>
      <c r="S237" s="100"/>
    </row>
    <row r="238" spans="2:19" s="90" customFormat="1">
      <c r="B238" s="305"/>
      <c r="D238" s="134"/>
      <c r="E238" s="134"/>
      <c r="F238" s="134"/>
      <c r="H238" s="273"/>
      <c r="I238" s="134"/>
      <c r="J238" s="134"/>
      <c r="L238" s="316"/>
      <c r="M238" s="316"/>
      <c r="N238" s="316"/>
      <c r="O238" s="316"/>
      <c r="P238" s="316"/>
      <c r="Q238" s="316"/>
      <c r="S238" s="100"/>
    </row>
    <row r="239" spans="2:19" s="90" customFormat="1">
      <c r="B239" s="305"/>
      <c r="D239" s="134"/>
      <c r="E239" s="134"/>
      <c r="F239" s="134"/>
      <c r="H239" s="273"/>
      <c r="I239" s="134"/>
      <c r="J239" s="134"/>
      <c r="L239" s="316"/>
      <c r="M239" s="316"/>
      <c r="N239" s="316"/>
      <c r="O239" s="316"/>
      <c r="P239" s="316"/>
      <c r="Q239" s="316"/>
      <c r="S239" s="100"/>
    </row>
    <row r="240" spans="2:19" s="90" customFormat="1">
      <c r="B240" s="305"/>
      <c r="D240" s="134"/>
      <c r="E240" s="134"/>
      <c r="F240" s="134"/>
      <c r="H240" s="273"/>
      <c r="I240" s="134"/>
      <c r="J240" s="134"/>
      <c r="L240" s="316"/>
      <c r="M240" s="316"/>
      <c r="N240" s="316"/>
      <c r="O240" s="316"/>
      <c r="P240" s="316"/>
      <c r="Q240" s="316"/>
      <c r="S240" s="100"/>
    </row>
    <row r="241" spans="2:19" s="90" customFormat="1">
      <c r="B241" s="305"/>
      <c r="D241" s="134"/>
      <c r="E241" s="134"/>
      <c r="F241" s="134"/>
      <c r="H241" s="273"/>
      <c r="I241" s="134"/>
      <c r="J241" s="134"/>
      <c r="L241" s="316"/>
      <c r="M241" s="316"/>
      <c r="N241" s="316"/>
      <c r="O241" s="316"/>
      <c r="P241" s="316"/>
      <c r="Q241" s="316"/>
      <c r="S241" s="100"/>
    </row>
    <row r="242" spans="2:19" s="90" customFormat="1">
      <c r="B242" s="305"/>
      <c r="D242" s="134"/>
      <c r="E242" s="134"/>
      <c r="F242" s="134"/>
      <c r="H242" s="273"/>
      <c r="I242" s="134"/>
      <c r="J242" s="134"/>
      <c r="L242" s="315"/>
      <c r="M242" s="315"/>
      <c r="N242" s="315"/>
      <c r="O242" s="315"/>
      <c r="P242" s="315"/>
      <c r="Q242" s="315"/>
      <c r="S242" s="100"/>
    </row>
    <row r="243" spans="2:19" s="90" customFormat="1">
      <c r="S243" s="100"/>
    </row>
    <row r="244" spans="2:19" s="90" customFormat="1">
      <c r="S244" s="100"/>
    </row>
    <row r="245" spans="2:19" s="90" customFormat="1">
      <c r="S245" s="100"/>
    </row>
    <row r="246" spans="2:19" s="90" customFormat="1">
      <c r="S246" s="100"/>
    </row>
    <row r="247" spans="2:19" s="90" customFormat="1">
      <c r="S247" s="100"/>
    </row>
    <row r="248" spans="2:19" s="90" customFormat="1">
      <c r="S248" s="100"/>
    </row>
    <row r="249" spans="2:19" s="90" customFormat="1">
      <c r="S249" s="100"/>
    </row>
    <row r="250" spans="2:19" s="90" customFormat="1">
      <c r="S250" s="100"/>
    </row>
    <row r="251" spans="2:19" s="90" customFormat="1">
      <c r="S251" s="100"/>
    </row>
    <row r="252" spans="2:19" s="90" customFormat="1">
      <c r="S252" s="100"/>
    </row>
    <row r="253" spans="2:19" s="90" customFormat="1">
      <c r="S253" s="100"/>
    </row>
    <row r="254" spans="2:19" s="90" customFormat="1">
      <c r="S254" s="100"/>
    </row>
    <row r="255" spans="2:19" s="90" customFormat="1">
      <c r="S255" s="100"/>
    </row>
    <row r="256" spans="2:19" s="90" customFormat="1">
      <c r="S256" s="100"/>
    </row>
    <row r="257" spans="19:19" s="90" customFormat="1">
      <c r="S257" s="100"/>
    </row>
    <row r="258" spans="19:19" s="90" customFormat="1">
      <c r="S258" s="100"/>
    </row>
    <row r="259" spans="19:19" s="90" customFormat="1">
      <c r="S259" s="100"/>
    </row>
    <row r="260" spans="19:19" s="90" customFormat="1">
      <c r="S260" s="100"/>
    </row>
    <row r="261" spans="19:19" s="90" customFormat="1">
      <c r="S261" s="100"/>
    </row>
    <row r="262" spans="19:19" s="90" customFormat="1">
      <c r="S262" s="100"/>
    </row>
    <row r="263" spans="19:19" s="90" customFormat="1">
      <c r="S263" s="100"/>
    </row>
    <row r="264" spans="19:19" s="90" customFormat="1">
      <c r="S264" s="100"/>
    </row>
    <row r="265" spans="19:19" s="90" customFormat="1">
      <c r="S265" s="100"/>
    </row>
    <row r="266" spans="19:19" s="90" customFormat="1">
      <c r="S266" s="100"/>
    </row>
    <row r="267" spans="19:19" s="90" customFormat="1">
      <c r="S267" s="100"/>
    </row>
    <row r="268" spans="19:19" s="90" customFormat="1">
      <c r="S268" s="100"/>
    </row>
    <row r="269" spans="19:19" s="90" customFormat="1">
      <c r="S269" s="100"/>
    </row>
    <row r="270" spans="19:19" s="90" customFormat="1">
      <c r="S270" s="100"/>
    </row>
    <row r="271" spans="19:19" s="90" customFormat="1">
      <c r="S271" s="100"/>
    </row>
    <row r="272" spans="19:19" s="90" customFormat="1">
      <c r="S272" s="100"/>
    </row>
    <row r="273" spans="19:19" s="90" customFormat="1">
      <c r="S273" s="100"/>
    </row>
    <row r="274" spans="19:19" s="90" customFormat="1">
      <c r="S274" s="100"/>
    </row>
    <row r="275" spans="19:19" s="90" customFormat="1">
      <c r="S275" s="100"/>
    </row>
    <row r="276" spans="19:19" s="90" customFormat="1">
      <c r="S276" s="100"/>
    </row>
    <row r="277" spans="19:19" s="90" customFormat="1">
      <c r="S277" s="100"/>
    </row>
    <row r="278" spans="19:19" s="90" customFormat="1">
      <c r="S278" s="100"/>
    </row>
    <row r="279" spans="19:19" s="90" customFormat="1">
      <c r="S279" s="100"/>
    </row>
    <row r="280" spans="19:19" s="90" customFormat="1">
      <c r="S280" s="100"/>
    </row>
    <row r="281" spans="19:19" s="90" customFormat="1">
      <c r="S281" s="100"/>
    </row>
    <row r="282" spans="19:19" s="90" customFormat="1">
      <c r="S282" s="100"/>
    </row>
    <row r="283" spans="19:19" s="90" customFormat="1">
      <c r="S283" s="100"/>
    </row>
    <row r="284" spans="19:19" s="90" customFormat="1">
      <c r="S284" s="100"/>
    </row>
    <row r="285" spans="19:19" s="90" customFormat="1">
      <c r="S285" s="100"/>
    </row>
    <row r="286" spans="19:19" s="90" customFormat="1">
      <c r="S286" s="100"/>
    </row>
    <row r="287" spans="19:19" s="90" customFormat="1">
      <c r="S287" s="100"/>
    </row>
    <row r="288" spans="19:19" s="90" customFormat="1">
      <c r="S288" s="100"/>
    </row>
    <row r="289" spans="2:19" s="90" customFormat="1">
      <c r="S289" s="100"/>
    </row>
    <row r="290" spans="2:19" s="90" customFormat="1">
      <c r="S290" s="100"/>
    </row>
    <row r="291" spans="2:19" s="90" customFormat="1">
      <c r="S291" s="100"/>
    </row>
    <row r="292" spans="2:19" s="90" customFormat="1">
      <c r="S292" s="100"/>
    </row>
    <row r="293" spans="2:19" s="90" customFormat="1">
      <c r="S293" s="100"/>
    </row>
    <row r="294" spans="2:19" s="90" customFormat="1">
      <c r="S294" s="100"/>
    </row>
    <row r="295" spans="2:19" s="90" customFormat="1">
      <c r="S295" s="100"/>
    </row>
    <row r="296" spans="2:19" s="90" customFormat="1">
      <c r="B296" s="303"/>
      <c r="S296" s="100"/>
    </row>
    <row r="297" spans="2:19" s="90" customFormat="1">
      <c r="S297" s="100"/>
    </row>
    <row r="298" spans="2:19" s="90" customFormat="1">
      <c r="S298" s="100"/>
    </row>
    <row r="299" spans="2:19" s="90" customFormat="1">
      <c r="S299" s="100"/>
    </row>
    <row r="300" spans="2:19" s="90" customFormat="1">
      <c r="S300" s="100"/>
    </row>
    <row r="301" spans="2:19" s="90" customFormat="1">
      <c r="S301" s="100"/>
    </row>
    <row r="302" spans="2:19" s="90" customFormat="1">
      <c r="B302" s="304">
        <f>EOMONTH(Instructions!$D$14,0)</f>
        <v>41851</v>
      </c>
    </row>
    <row r="303" spans="2:19" s="90" customFormat="1">
      <c r="B303" s="304">
        <f t="shared" ref="B303:B313" si="38">EOMONTH(B302,1)</f>
        <v>41882</v>
      </c>
    </row>
    <row r="304" spans="2:19" s="90" customFormat="1">
      <c r="B304" s="304">
        <f t="shared" si="38"/>
        <v>41912</v>
      </c>
    </row>
    <row r="305" spans="2:19" s="90" customFormat="1">
      <c r="B305" s="304">
        <f t="shared" si="38"/>
        <v>41943</v>
      </c>
    </row>
    <row r="306" spans="2:19" s="90" customFormat="1">
      <c r="B306" s="304">
        <f t="shared" si="38"/>
        <v>41973</v>
      </c>
    </row>
    <row r="307" spans="2:19" s="90" customFormat="1">
      <c r="B307" s="304">
        <f t="shared" si="38"/>
        <v>42004</v>
      </c>
    </row>
    <row r="308" spans="2:19" s="90" customFormat="1">
      <c r="B308" s="304">
        <f t="shared" si="38"/>
        <v>42035</v>
      </c>
    </row>
    <row r="309" spans="2:19" s="90" customFormat="1">
      <c r="B309" s="304">
        <f t="shared" si="38"/>
        <v>42063</v>
      </c>
    </row>
    <row r="310" spans="2:19" s="90" customFormat="1">
      <c r="B310" s="304">
        <f t="shared" si="38"/>
        <v>42094</v>
      </c>
    </row>
    <row r="311" spans="2:19" s="90" customFormat="1">
      <c r="B311" s="304">
        <f t="shared" si="38"/>
        <v>42124</v>
      </c>
    </row>
    <row r="312" spans="2:19" s="90" customFormat="1">
      <c r="B312" s="304">
        <f t="shared" si="38"/>
        <v>42155</v>
      </c>
    </row>
    <row r="313" spans="2:19" s="90" customFormat="1">
      <c r="B313" s="304">
        <f t="shared" si="38"/>
        <v>42185</v>
      </c>
    </row>
    <row r="314" spans="2:19" s="90" customFormat="1">
      <c r="S314" s="100"/>
    </row>
    <row r="315" spans="2:19" s="90" customFormat="1">
      <c r="S315" s="100"/>
    </row>
    <row r="316" spans="2:19" s="90" customFormat="1">
      <c r="S316" s="100"/>
    </row>
    <row r="317" spans="2:19" s="90" customFormat="1">
      <c r="S317" s="100"/>
    </row>
    <row r="318" spans="2:19" s="90" customFormat="1">
      <c r="S318" s="100"/>
    </row>
    <row r="319" spans="2:19" s="90" customFormat="1">
      <c r="S319" s="100"/>
    </row>
    <row r="320" spans="2:19" s="90" customFormat="1">
      <c r="S320" s="100"/>
    </row>
    <row r="321" spans="1:19" s="90" customFormat="1">
      <c r="S321" s="100"/>
    </row>
    <row r="322" spans="1:19" s="90" customFormat="1">
      <c r="S322" s="100"/>
    </row>
    <row r="323" spans="1:19" s="90" customFormat="1">
      <c r="S323" s="100"/>
    </row>
    <row r="324" spans="1:19" s="90" customFormat="1">
      <c r="S324" s="100"/>
    </row>
    <row r="325" spans="1:19" s="90" customFormat="1">
      <c r="S325" s="100"/>
    </row>
    <row r="326" spans="1:19" s="90" customFormat="1">
      <c r="S326" s="100"/>
    </row>
    <row r="327" spans="1:19" s="90" customFormat="1">
      <c r="S327" s="100"/>
    </row>
    <row r="328" spans="1:19" s="90" customFormat="1">
      <c r="S328" s="100"/>
    </row>
    <row r="329" spans="1:19" s="90" customFormat="1">
      <c r="S329" s="100"/>
    </row>
    <row r="330" spans="1:19">
      <c r="A330" s="90"/>
      <c r="B330" s="90"/>
      <c r="C330" s="90"/>
      <c r="D330" s="90"/>
      <c r="E330" s="90"/>
      <c r="F330" s="90"/>
      <c r="G330" s="90"/>
      <c r="H330" s="90"/>
      <c r="I330" s="90"/>
      <c r="J330" s="90"/>
      <c r="K330" s="90"/>
      <c r="L330" s="90"/>
      <c r="M330" s="90"/>
      <c r="N330" s="90"/>
      <c r="O330" s="90"/>
      <c r="P330" s="90"/>
      <c r="Q330" s="90"/>
      <c r="R330" s="90"/>
    </row>
  </sheetData>
  <mergeCells count="25">
    <mergeCell ref="B56:Q56"/>
    <mergeCell ref="B55:Q55"/>
    <mergeCell ref="B57:Q57"/>
    <mergeCell ref="B58:Q58"/>
    <mergeCell ref="B59:Q59"/>
    <mergeCell ref="B65:Q65"/>
    <mergeCell ref="B64:Q64"/>
    <mergeCell ref="B63:Q63"/>
    <mergeCell ref="B62:Q62"/>
    <mergeCell ref="B60:Q60"/>
    <mergeCell ref="B61:Q61"/>
    <mergeCell ref="L212:Q216"/>
    <mergeCell ref="L218:Q222"/>
    <mergeCell ref="B139:Q145"/>
    <mergeCell ref="D192:F192"/>
    <mergeCell ref="H192:J192"/>
    <mergeCell ref="L194:Q198"/>
    <mergeCell ref="L200:Q204"/>
    <mergeCell ref="L206:Q210"/>
    <mergeCell ref="B189:Q189"/>
    <mergeCell ref="B188:Q188"/>
    <mergeCell ref="B187:Q187"/>
    <mergeCell ref="B186:Q186"/>
    <mergeCell ref="B185:Q185"/>
    <mergeCell ref="B184:Q184"/>
  </mergeCells>
  <conditionalFormatting sqref="J49:J51 O49:O50 J8:J14 O8:O47 J16:J47">
    <cfRule type="cellIs" dxfId="24" priority="83" operator="equal">
      <formula>"û"</formula>
    </cfRule>
    <cfRule type="cellIs" dxfId="23" priority="84" operator="equal">
      <formula>"ü"</formula>
    </cfRule>
  </conditionalFormatting>
  <conditionalFormatting sqref="E8:E20">
    <cfRule type="colorScale" priority="66">
      <colorScale>
        <cfvo type="min"/>
        <cfvo type="percentile" val="50"/>
        <cfvo type="max"/>
        <color rgb="FFF8696B"/>
        <color rgb="FFFFEB84"/>
        <color rgb="FF63BE7B"/>
      </colorScale>
    </cfRule>
  </conditionalFormatting>
  <conditionalFormatting sqref="H164">
    <cfRule type="cellIs" dxfId="22" priority="15" operator="between">
      <formula>-0.1</formula>
      <formula>-10000000</formula>
    </cfRule>
    <cfRule type="cellIs" dxfId="21" priority="39" operator="between">
      <formula>0</formula>
      <formula>1000000</formula>
    </cfRule>
    <cfRule type="cellIs" dxfId="20" priority="40" operator="between">
      <formula>-0.00001</formula>
      <formula>-0.1</formula>
    </cfRule>
  </conditionalFormatting>
  <conditionalFormatting sqref="O51">
    <cfRule type="cellIs" dxfId="19" priority="29" operator="equal">
      <formula>"û"</formula>
    </cfRule>
    <cfRule type="cellIs" dxfId="18" priority="30" operator="equal">
      <formula>"ü"</formula>
    </cfRule>
  </conditionalFormatting>
  <conditionalFormatting sqref="I23 N23 N49 N51 I51 I49 H167:H168 I8:I14 I16:I21 N8:N21 N27:N47 I27:I47">
    <cfRule type="cellIs" dxfId="17" priority="21" operator="between">
      <formula>0%</formula>
      <formula>100000000%</formula>
    </cfRule>
  </conditionalFormatting>
  <conditionalFormatting sqref="I23 N23 I49 N49 N51 I51 H167:H168 I8:I14 I16:I21 N8:N21 I27:I47 N27:N47">
    <cfRule type="cellIs" dxfId="16" priority="20" operator="between">
      <formula>-0.00001%</formula>
      <formula>-9.99999999%</formula>
    </cfRule>
  </conditionalFormatting>
  <conditionalFormatting sqref="I23 N23 I49 I51 N49 N51 H167:H168 I8:I14 I16:I21 N8:N21 I27:I47 N27:N47">
    <cfRule type="cellIs" dxfId="15" priority="19" operator="between">
      <formula>-10%</formula>
      <formula>-10000000%</formula>
    </cfRule>
  </conditionalFormatting>
  <conditionalFormatting sqref="H23 M23 H49 M49 M51 H51 H8:H21 M8:M21 H27:H47 M27:M47">
    <cfRule type="expression" dxfId="14" priority="16" stopIfTrue="1">
      <formula>I8&gt;=0%</formula>
    </cfRule>
  </conditionalFormatting>
  <conditionalFormatting sqref="H23 M23 H49 H51 M49 M51 H8:H21 M8:M21 H27:H47 M27:M47">
    <cfRule type="expression" dxfId="13" priority="17" stopIfTrue="1">
      <formula>I8&gt;=-9.99999999%</formula>
    </cfRule>
  </conditionalFormatting>
  <conditionalFormatting sqref="H23 M23 H49 H51 M51 M49 H8:H21 M8:M21 M27:M47 H27:H47">
    <cfRule type="expression" dxfId="12" priority="18">
      <formula>I8&lt;=-10%</formula>
    </cfRule>
  </conditionalFormatting>
  <conditionalFormatting sqref="J15:J21">
    <cfRule type="cellIs" dxfId="11" priority="11" operator="equal">
      <formula>"û"</formula>
    </cfRule>
    <cfRule type="cellIs" dxfId="10" priority="12" operator="equal">
      <formula>"ü"</formula>
    </cfRule>
  </conditionalFormatting>
  <conditionalFormatting sqref="I8:I21">
    <cfRule type="cellIs" dxfId="9" priority="10" operator="between">
      <formula>0%</formula>
      <formula>100000000%</formula>
    </cfRule>
  </conditionalFormatting>
  <conditionalFormatting sqref="I8:I21">
    <cfRule type="cellIs" dxfId="8" priority="9" operator="between">
      <formula>-0.00001%</formula>
      <formula>-9.99999999%</formula>
    </cfRule>
  </conditionalFormatting>
  <conditionalFormatting sqref="I8:I21">
    <cfRule type="cellIs" dxfId="7" priority="8" operator="between">
      <formula>-10%</formula>
      <formula>-10000000%</formula>
    </cfRule>
  </conditionalFormatting>
  <conditionalFormatting sqref="F154">
    <cfRule type="expression" dxfId="6" priority="7">
      <formula>$F$154&lt;0</formula>
    </cfRule>
  </conditionalFormatting>
  <conditionalFormatting sqref="F159">
    <cfRule type="expression" dxfId="5" priority="6">
      <formula>$F$159&lt;0</formula>
    </cfRule>
  </conditionalFormatting>
  <conditionalFormatting sqref="F164">
    <cfRule type="expression" dxfId="4" priority="5">
      <formula>$F$164&lt;1</formula>
    </cfRule>
  </conditionalFormatting>
  <conditionalFormatting sqref="G113">
    <cfRule type="expression" dxfId="3" priority="3">
      <formula>$G$113&lt;0</formula>
    </cfRule>
    <cfRule type="expression" dxfId="2" priority="4">
      <formula>$G$113&gt;0</formula>
    </cfRule>
  </conditionalFormatting>
  <conditionalFormatting sqref="G119">
    <cfRule type="expression" dxfId="1" priority="1">
      <formula>$G$119&lt;0</formula>
    </cfRule>
    <cfRule type="expression" dxfId="0" priority="2">
      <formula>$G$119&gt;0</formula>
    </cfRule>
  </conditionalFormatting>
  <printOptions horizontalCentered="1"/>
  <pageMargins left="3.937007874015748E-2" right="3.937007874015748E-2" top="0.15748031496062992" bottom="0.35433070866141736" header="0.31496062992125984" footer="0.31496062992125984"/>
  <pageSetup paperSize="9" scale="80" fitToHeight="8" orientation="landscape" r:id="rId1"/>
  <headerFooter alignWithMargins="0"/>
  <rowBreaks count="4" manualBreakCount="4">
    <brk id="24" max="17" man="1"/>
    <brk id="65" max="17" man="1"/>
    <brk id="106" max="17" man="1"/>
    <brk id="147"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79998168889431442"/>
  </sheetPr>
  <dimension ref="A1:S105"/>
  <sheetViews>
    <sheetView zoomScaleNormal="100" zoomScaleSheetLayoutView="100" workbookViewId="0">
      <selection activeCell="B25" sqref="B25"/>
    </sheetView>
  </sheetViews>
  <sheetFormatPr defaultRowHeight="12.75"/>
  <cols>
    <col min="1" max="1" width="2.42578125" style="30" customWidth="1"/>
    <col min="2" max="2" width="28.7109375" style="30" customWidth="1"/>
    <col min="3" max="3" width="2.42578125" style="30" customWidth="1"/>
    <col min="4" max="15" width="10.140625" style="30" customWidth="1"/>
    <col min="16" max="16" width="2.42578125" style="30" customWidth="1"/>
    <col min="17" max="17" width="15.7109375" style="30" customWidth="1"/>
    <col min="18" max="18" width="2.42578125" style="30" customWidth="1"/>
    <col min="19" max="19" width="9.7109375" style="104" customWidth="1"/>
    <col min="20" max="16384" width="9.140625" style="30"/>
  </cols>
  <sheetData>
    <row r="1" spans="1:19" s="1" customFormat="1" ht="24.75" customHeight="1">
      <c r="B1" s="3" t="str">
        <f>"Monthly Non Financial Measures: "&amp;Instructions!D13</f>
        <v>Monthly Non Financial Measures: Example Sporting Organisation</v>
      </c>
      <c r="F1" s="4"/>
      <c r="H1" s="4"/>
      <c r="I1" s="88"/>
      <c r="J1" s="89"/>
      <c r="K1" s="89"/>
      <c r="L1" s="177"/>
      <c r="M1" s="89"/>
      <c r="N1" s="4"/>
      <c r="S1" s="83"/>
    </row>
    <row r="2" spans="1:19" s="1" customFormat="1" ht="9" customHeight="1">
      <c r="K2" s="178"/>
      <c r="L2" s="176"/>
      <c r="M2" s="176"/>
      <c r="N2" s="2"/>
      <c r="S2" s="83"/>
    </row>
    <row r="3" spans="1:19" s="1" customFormat="1" ht="15" customHeight="1">
      <c r="B3" s="7" t="s">
        <v>18</v>
      </c>
      <c r="I3" s="73"/>
      <c r="J3" s="120" t="s">
        <v>62</v>
      </c>
      <c r="K3" s="169"/>
      <c r="L3" s="6"/>
      <c r="M3" s="6"/>
      <c r="N3" s="6"/>
      <c r="O3" s="2"/>
      <c r="P3" s="2"/>
      <c r="Q3" s="2"/>
      <c r="R3" s="2"/>
      <c r="S3" s="97"/>
    </row>
    <row r="4" spans="1:19" s="1" customFormat="1" ht="16.5" customHeight="1">
      <c r="G4" s="8"/>
      <c r="H4" s="8"/>
      <c r="I4" s="8"/>
      <c r="J4" s="8"/>
      <c r="S4" s="97"/>
    </row>
    <row r="5" spans="1:19" s="1" customFormat="1" ht="16.5" customHeight="1">
      <c r="A5" s="5"/>
      <c r="B5" s="226" t="s">
        <v>15</v>
      </c>
      <c r="C5" s="228"/>
      <c r="D5" s="228"/>
      <c r="E5" s="228"/>
      <c r="F5" s="5"/>
      <c r="G5" s="5"/>
      <c r="H5" s="5"/>
      <c r="I5" s="5"/>
      <c r="J5" s="5"/>
      <c r="K5" s="5"/>
      <c r="L5" s="5"/>
      <c r="M5" s="5"/>
      <c r="N5" s="5"/>
      <c r="O5" s="5"/>
      <c r="P5" s="5"/>
      <c r="Q5" s="5"/>
      <c r="R5" s="5"/>
      <c r="S5" s="97"/>
    </row>
    <row r="6" spans="1:19" s="1" customFormat="1" ht="9.75" customHeight="1">
      <c r="A6" s="22"/>
      <c r="B6" s="5"/>
      <c r="C6" s="5"/>
      <c r="D6" s="5"/>
      <c r="E6" s="5"/>
      <c r="F6" s="5"/>
      <c r="G6" s="5"/>
      <c r="H6" s="5"/>
      <c r="I6" s="5"/>
      <c r="J6" s="5"/>
      <c r="K6" s="5"/>
      <c r="L6" s="5"/>
      <c r="M6" s="5"/>
      <c r="N6" s="5"/>
      <c r="O6" s="5"/>
      <c r="P6" s="5"/>
      <c r="Q6" s="5"/>
      <c r="R6" s="5"/>
      <c r="S6" s="97"/>
    </row>
    <row r="7" spans="1:19" s="1" customFormat="1" ht="16.5" customHeight="1">
      <c r="A7" s="22"/>
      <c r="B7" s="19"/>
      <c r="C7" s="13"/>
      <c r="D7" s="166">
        <f>EOMONTH(Instructions!$D$14,0)</f>
        <v>41851</v>
      </c>
      <c r="E7" s="167">
        <f>EOMONTH(D7,1)</f>
        <v>41882</v>
      </c>
      <c r="F7" s="167">
        <f t="shared" ref="F7:O7" si="0">EOMONTH(E7,1)</f>
        <v>41912</v>
      </c>
      <c r="G7" s="167">
        <f t="shared" si="0"/>
        <v>41943</v>
      </c>
      <c r="H7" s="167">
        <f t="shared" si="0"/>
        <v>41973</v>
      </c>
      <c r="I7" s="167">
        <f t="shared" si="0"/>
        <v>42004</v>
      </c>
      <c r="J7" s="167">
        <f t="shared" si="0"/>
        <v>42035</v>
      </c>
      <c r="K7" s="167">
        <f t="shared" si="0"/>
        <v>42063</v>
      </c>
      <c r="L7" s="167">
        <f t="shared" si="0"/>
        <v>42094</v>
      </c>
      <c r="M7" s="167">
        <f t="shared" si="0"/>
        <v>42124</v>
      </c>
      <c r="N7" s="167">
        <f t="shared" si="0"/>
        <v>42155</v>
      </c>
      <c r="O7" s="168">
        <f t="shared" si="0"/>
        <v>42185</v>
      </c>
      <c r="P7" s="14"/>
      <c r="Q7" s="12"/>
      <c r="R7" s="5"/>
      <c r="S7" s="97"/>
    </row>
    <row r="8" spans="1:19" s="1" customFormat="1" ht="16.5" customHeight="1">
      <c r="A8" s="22"/>
      <c r="B8" s="20" t="s">
        <v>16</v>
      </c>
      <c r="C8" s="13"/>
      <c r="D8" s="285">
        <v>42</v>
      </c>
      <c r="E8" s="284">
        <v>38</v>
      </c>
      <c r="F8" s="284">
        <v>38</v>
      </c>
      <c r="G8" s="284">
        <v>38</v>
      </c>
      <c r="H8" s="284">
        <v>42</v>
      </c>
      <c r="I8" s="284"/>
      <c r="J8" s="284"/>
      <c r="K8" s="284"/>
      <c r="L8" s="284"/>
      <c r="M8" s="284"/>
      <c r="N8" s="284"/>
      <c r="O8" s="286"/>
      <c r="P8" s="68"/>
      <c r="Q8" s="69"/>
      <c r="R8" s="5"/>
      <c r="S8" s="97"/>
    </row>
    <row r="9" spans="1:19" s="1" customFormat="1" ht="16.5" customHeight="1">
      <c r="A9" s="22"/>
      <c r="B9" s="321" t="s">
        <v>17</v>
      </c>
      <c r="C9" s="13"/>
      <c r="D9" s="320">
        <v>1</v>
      </c>
      <c r="E9" s="319">
        <v>0.91</v>
      </c>
      <c r="F9" s="319">
        <v>0.91</v>
      </c>
      <c r="G9" s="319">
        <v>0.91</v>
      </c>
      <c r="H9" s="319">
        <v>0.91</v>
      </c>
      <c r="I9" s="319"/>
      <c r="J9" s="284"/>
      <c r="K9" s="284"/>
      <c r="L9" s="284"/>
      <c r="M9" s="284"/>
      <c r="N9" s="284"/>
      <c r="O9" s="286"/>
      <c r="P9" s="68"/>
      <c r="Q9" s="69"/>
      <c r="R9" s="5"/>
      <c r="S9" s="97"/>
    </row>
    <row r="10" spans="1:19" s="1" customFormat="1" ht="16.5" customHeight="1">
      <c r="A10" s="22"/>
      <c r="B10" s="322" t="s">
        <v>227</v>
      </c>
      <c r="C10" s="25"/>
      <c r="D10" s="323">
        <v>1</v>
      </c>
      <c r="E10" s="324">
        <v>1</v>
      </c>
      <c r="F10" s="324">
        <v>1</v>
      </c>
      <c r="G10" s="324">
        <v>1</v>
      </c>
      <c r="H10" s="324">
        <v>1</v>
      </c>
      <c r="I10" s="324">
        <v>1</v>
      </c>
      <c r="J10" s="324">
        <v>1</v>
      </c>
      <c r="K10" s="324">
        <v>1</v>
      </c>
      <c r="L10" s="324">
        <v>1</v>
      </c>
      <c r="M10" s="324">
        <v>1</v>
      </c>
      <c r="N10" s="324">
        <v>1</v>
      </c>
      <c r="O10" s="325">
        <v>1</v>
      </c>
      <c r="P10" s="26"/>
      <c r="Q10" s="42"/>
      <c r="R10" s="22"/>
      <c r="S10" s="97"/>
    </row>
    <row r="11" spans="1:19" s="1" customFormat="1" ht="16.5" customHeight="1">
      <c r="A11" s="22"/>
      <c r="B11" s="22"/>
      <c r="C11" s="22"/>
      <c r="D11" s="22"/>
      <c r="E11" s="22"/>
      <c r="F11" s="22"/>
      <c r="G11" s="22"/>
      <c r="H11" s="22"/>
      <c r="I11" s="22"/>
      <c r="J11" s="22"/>
      <c r="K11" s="22"/>
      <c r="L11" s="22"/>
      <c r="M11" s="22"/>
      <c r="N11" s="22"/>
      <c r="O11" s="22"/>
      <c r="P11" s="22"/>
      <c r="Q11" s="22"/>
      <c r="R11" s="22"/>
      <c r="S11" s="97"/>
    </row>
    <row r="12" spans="1:19" s="1" customFormat="1" ht="16.5" customHeight="1">
      <c r="A12" s="5"/>
      <c r="B12" s="23"/>
      <c r="C12" s="5"/>
      <c r="D12" s="5"/>
      <c r="E12" s="5"/>
      <c r="F12" s="5"/>
      <c r="G12" s="5"/>
      <c r="H12" s="5"/>
      <c r="I12" s="5"/>
      <c r="J12" s="5"/>
      <c r="K12" s="5"/>
      <c r="L12" s="5"/>
      <c r="M12" s="5"/>
      <c r="N12" s="5"/>
      <c r="O12" s="5"/>
      <c r="P12" s="5"/>
      <c r="Q12" s="5"/>
      <c r="R12" s="5"/>
      <c r="S12" s="97"/>
    </row>
    <row r="13" spans="1:19" s="1" customFormat="1" ht="16.5" customHeight="1">
      <c r="A13" s="5"/>
      <c r="B13" s="226" t="s">
        <v>59</v>
      </c>
      <c r="C13" s="228"/>
      <c r="D13" s="228"/>
      <c r="E13" s="228"/>
      <c r="F13" s="5"/>
      <c r="G13" s="5"/>
      <c r="H13" s="5"/>
      <c r="I13" s="5"/>
      <c r="J13" s="5"/>
      <c r="K13" s="5"/>
      <c r="L13" s="5"/>
      <c r="M13" s="5"/>
      <c r="N13" s="5"/>
      <c r="O13" s="5"/>
      <c r="P13" s="5"/>
      <c r="Q13" s="5"/>
      <c r="R13" s="5"/>
      <c r="S13" s="97"/>
    </row>
    <row r="14" spans="1:19" s="1" customFormat="1" ht="9.75" customHeight="1">
      <c r="A14" s="5"/>
      <c r="B14" s="5"/>
      <c r="C14" s="5"/>
      <c r="D14" s="5"/>
      <c r="E14" s="5"/>
      <c r="F14" s="5"/>
      <c r="G14" s="5"/>
      <c r="H14" s="5"/>
      <c r="I14" s="5"/>
      <c r="J14" s="5"/>
      <c r="K14" s="5"/>
      <c r="L14" s="5"/>
      <c r="M14" s="5"/>
      <c r="N14" s="5"/>
      <c r="O14" s="5"/>
      <c r="P14" s="5"/>
      <c r="Q14" s="135"/>
      <c r="R14" s="5"/>
      <c r="S14" s="97"/>
    </row>
    <row r="15" spans="1:19" s="1" customFormat="1" ht="16.5" customHeight="1">
      <c r="A15" s="5"/>
      <c r="B15" s="12"/>
      <c r="C15" s="13"/>
      <c r="D15" s="166">
        <f>EOMONTH(Instructions!$D$14,0)</f>
        <v>41851</v>
      </c>
      <c r="E15" s="167">
        <f>EOMONTH(D15,1)</f>
        <v>41882</v>
      </c>
      <c r="F15" s="167">
        <f t="shared" ref="F15:O15" si="1">EOMONTH(E15,1)</f>
        <v>41912</v>
      </c>
      <c r="G15" s="167">
        <f t="shared" si="1"/>
        <v>41943</v>
      </c>
      <c r="H15" s="167">
        <f t="shared" si="1"/>
        <v>41973</v>
      </c>
      <c r="I15" s="167">
        <f t="shared" si="1"/>
        <v>42004</v>
      </c>
      <c r="J15" s="167">
        <f t="shared" si="1"/>
        <v>42035</v>
      </c>
      <c r="K15" s="167">
        <f t="shared" si="1"/>
        <v>42063</v>
      </c>
      <c r="L15" s="167">
        <f t="shared" si="1"/>
        <v>42094</v>
      </c>
      <c r="M15" s="167">
        <f t="shared" si="1"/>
        <v>42124</v>
      </c>
      <c r="N15" s="167">
        <f t="shared" si="1"/>
        <v>42155</v>
      </c>
      <c r="O15" s="168">
        <f t="shared" si="1"/>
        <v>42185</v>
      </c>
      <c r="P15" s="14"/>
      <c r="Q15" s="12"/>
      <c r="R15" s="5"/>
      <c r="S15" s="97"/>
    </row>
    <row r="16" spans="1:19" s="1" customFormat="1" ht="16.5" customHeight="1">
      <c r="A16" s="5"/>
      <c r="B16" s="93" t="s">
        <v>60</v>
      </c>
      <c r="C16" s="13"/>
      <c r="D16" s="285">
        <v>2</v>
      </c>
      <c r="E16" s="284">
        <v>2</v>
      </c>
      <c r="F16" s="284">
        <v>2</v>
      </c>
      <c r="G16" s="284">
        <v>8</v>
      </c>
      <c r="H16" s="284">
        <v>2</v>
      </c>
      <c r="I16" s="284"/>
      <c r="J16" s="284"/>
      <c r="K16" s="284"/>
      <c r="L16" s="284"/>
      <c r="M16" s="284"/>
      <c r="N16" s="284"/>
      <c r="O16" s="286"/>
      <c r="P16" s="14"/>
      <c r="Q16" s="69"/>
      <c r="R16" s="5"/>
      <c r="S16" s="97"/>
    </row>
    <row r="17" spans="1:19" s="1" customFormat="1" ht="16.5" customHeight="1">
      <c r="A17" s="5"/>
      <c r="B17" s="326" t="s">
        <v>19</v>
      </c>
      <c r="C17" s="13"/>
      <c r="D17" s="285">
        <v>2</v>
      </c>
      <c r="E17" s="284">
        <v>2</v>
      </c>
      <c r="F17" s="284">
        <v>6</v>
      </c>
      <c r="G17" s="284">
        <v>2</v>
      </c>
      <c r="H17" s="284">
        <v>2</v>
      </c>
      <c r="I17" s="284"/>
      <c r="J17" s="284"/>
      <c r="K17" s="284"/>
      <c r="L17" s="284"/>
      <c r="M17" s="284"/>
      <c r="N17" s="284"/>
      <c r="O17" s="286"/>
      <c r="P17" s="14"/>
      <c r="Q17" s="69"/>
      <c r="R17" s="5"/>
      <c r="S17" s="97"/>
    </row>
    <row r="18" spans="1:19" s="1" customFormat="1" ht="16.5" customHeight="1">
      <c r="A18" s="22"/>
      <c r="B18" s="322" t="s">
        <v>228</v>
      </c>
      <c r="C18" s="25"/>
      <c r="D18" s="327">
        <v>0</v>
      </c>
      <c r="E18" s="328">
        <v>0</v>
      </c>
      <c r="F18" s="328">
        <v>0</v>
      </c>
      <c r="G18" s="328">
        <v>0</v>
      </c>
      <c r="H18" s="328">
        <v>0</v>
      </c>
      <c r="I18" s="328">
        <v>0</v>
      </c>
      <c r="J18" s="328">
        <v>0</v>
      </c>
      <c r="K18" s="328">
        <v>0</v>
      </c>
      <c r="L18" s="328">
        <v>0</v>
      </c>
      <c r="M18" s="328">
        <v>0</v>
      </c>
      <c r="N18" s="328">
        <v>0</v>
      </c>
      <c r="O18" s="329">
        <v>0</v>
      </c>
      <c r="P18" s="26"/>
      <c r="Q18" s="42"/>
      <c r="R18" s="22"/>
      <c r="S18" s="97"/>
    </row>
    <row r="19" spans="1:19" s="1" customFormat="1" ht="16.5" customHeight="1">
      <c r="A19" s="5"/>
      <c r="B19" s="23"/>
      <c r="C19" s="5"/>
      <c r="D19" s="5"/>
      <c r="E19" s="5"/>
      <c r="F19" s="5"/>
      <c r="G19" s="5"/>
      <c r="H19" s="5"/>
      <c r="I19" s="5"/>
      <c r="J19" s="5"/>
      <c r="K19" s="5"/>
      <c r="L19" s="5"/>
      <c r="M19" s="5"/>
      <c r="N19" s="5"/>
      <c r="O19" s="5"/>
      <c r="P19" s="5"/>
      <c r="Q19" s="21"/>
      <c r="R19" s="5"/>
      <c r="S19" s="97"/>
    </row>
    <row r="20" spans="1:19" s="1" customFormat="1" ht="16.5" customHeight="1">
      <c r="A20" s="5"/>
      <c r="B20" s="23"/>
      <c r="C20" s="5"/>
      <c r="D20" s="5"/>
      <c r="E20" s="5"/>
      <c r="F20" s="5"/>
      <c r="G20" s="5"/>
      <c r="H20" s="5"/>
      <c r="I20" s="5"/>
      <c r="J20" s="5"/>
      <c r="K20" s="5"/>
      <c r="L20" s="5"/>
      <c r="M20" s="5"/>
      <c r="N20" s="5"/>
      <c r="O20" s="5"/>
      <c r="P20" s="5"/>
      <c r="Q20" s="5"/>
      <c r="R20" s="5"/>
      <c r="S20" s="97"/>
    </row>
    <row r="21" spans="1:19" s="1" customFormat="1" ht="16.5" customHeight="1">
      <c r="A21" s="5"/>
      <c r="B21" s="226" t="s">
        <v>2</v>
      </c>
      <c r="C21" s="228"/>
      <c r="D21" s="228"/>
      <c r="E21" s="228"/>
      <c r="F21" s="5"/>
      <c r="G21" s="5"/>
      <c r="H21" s="5"/>
      <c r="I21" s="5"/>
      <c r="J21" s="5"/>
      <c r="K21" s="5"/>
      <c r="L21" s="5"/>
      <c r="M21" s="5"/>
      <c r="N21" s="5"/>
      <c r="O21" s="5"/>
      <c r="P21" s="5"/>
      <c r="Q21" s="5"/>
      <c r="R21" s="5"/>
      <c r="S21" s="97"/>
    </row>
    <row r="22" spans="1:19" s="1" customFormat="1" ht="9.75" customHeight="1">
      <c r="A22" s="5"/>
      <c r="B22" s="5"/>
      <c r="C22" s="5"/>
      <c r="D22" s="5"/>
      <c r="E22" s="5"/>
      <c r="F22" s="5"/>
      <c r="G22" s="5"/>
      <c r="H22" s="5"/>
      <c r="I22" s="5"/>
      <c r="J22" s="5"/>
      <c r="K22" s="5"/>
      <c r="L22" s="5"/>
      <c r="M22" s="5"/>
      <c r="N22" s="5"/>
      <c r="O22" s="5"/>
      <c r="P22" s="5"/>
      <c r="Q22" s="5"/>
      <c r="R22" s="5"/>
      <c r="S22" s="97"/>
    </row>
    <row r="23" spans="1:19" s="1" customFormat="1" ht="16.5" customHeight="1">
      <c r="A23" s="5"/>
      <c r="B23" s="19"/>
      <c r="C23" s="13"/>
      <c r="D23" s="166">
        <f>EOMONTH(Instructions!$D$14,0)</f>
        <v>41851</v>
      </c>
      <c r="E23" s="167">
        <f>EOMONTH(D23,1)</f>
        <v>41882</v>
      </c>
      <c r="F23" s="167">
        <f t="shared" ref="F23:O23" si="2">EOMONTH(E23,1)</f>
        <v>41912</v>
      </c>
      <c r="G23" s="167">
        <f t="shared" si="2"/>
        <v>41943</v>
      </c>
      <c r="H23" s="167">
        <f t="shared" si="2"/>
        <v>41973</v>
      </c>
      <c r="I23" s="167">
        <f t="shared" si="2"/>
        <v>42004</v>
      </c>
      <c r="J23" s="167">
        <f t="shared" si="2"/>
        <v>42035</v>
      </c>
      <c r="K23" s="167">
        <f t="shared" si="2"/>
        <v>42063</v>
      </c>
      <c r="L23" s="167">
        <f t="shared" si="2"/>
        <v>42094</v>
      </c>
      <c r="M23" s="167">
        <f t="shared" si="2"/>
        <v>42124</v>
      </c>
      <c r="N23" s="167">
        <f t="shared" si="2"/>
        <v>42155</v>
      </c>
      <c r="O23" s="168">
        <f t="shared" si="2"/>
        <v>42185</v>
      </c>
      <c r="P23" s="14"/>
      <c r="Q23" s="12" t="s">
        <v>4</v>
      </c>
      <c r="R23" s="5"/>
      <c r="S23" s="97"/>
    </row>
    <row r="24" spans="1:19" s="1" customFormat="1" ht="16.5" customHeight="1">
      <c r="A24" s="22"/>
      <c r="B24" s="93" t="s">
        <v>61</v>
      </c>
      <c r="C24" s="16"/>
      <c r="D24" s="285">
        <v>10</v>
      </c>
      <c r="E24" s="284">
        <v>10</v>
      </c>
      <c r="F24" s="284">
        <v>10</v>
      </c>
      <c r="G24" s="284">
        <v>10</v>
      </c>
      <c r="H24" s="284">
        <v>10</v>
      </c>
      <c r="I24" s="284"/>
      <c r="J24" s="284"/>
      <c r="K24" s="284"/>
      <c r="L24" s="284"/>
      <c r="M24" s="284"/>
      <c r="N24" s="284"/>
      <c r="O24" s="286"/>
      <c r="P24" s="68"/>
      <c r="Q24" s="69">
        <f>SUM(D24:O24)</f>
        <v>50</v>
      </c>
      <c r="R24" s="22"/>
      <c r="S24" s="97"/>
    </row>
    <row r="25" spans="1:19" s="1" customFormat="1" ht="16.5" customHeight="1">
      <c r="A25" s="22"/>
      <c r="B25" s="107" t="s">
        <v>241</v>
      </c>
      <c r="C25" s="16"/>
      <c r="D25" s="287">
        <v>15</v>
      </c>
      <c r="E25" s="288">
        <v>15</v>
      </c>
      <c r="F25" s="288">
        <v>15</v>
      </c>
      <c r="G25" s="288">
        <v>15</v>
      </c>
      <c r="H25" s="288">
        <v>15</v>
      </c>
      <c r="I25" s="288">
        <v>15</v>
      </c>
      <c r="J25" s="288">
        <v>15</v>
      </c>
      <c r="K25" s="288">
        <v>15</v>
      </c>
      <c r="L25" s="288">
        <v>15</v>
      </c>
      <c r="M25" s="288">
        <v>15</v>
      </c>
      <c r="N25" s="288">
        <v>15</v>
      </c>
      <c r="O25" s="289">
        <v>15</v>
      </c>
      <c r="P25" s="68"/>
      <c r="Q25" s="70">
        <f>SUM(D25:O25)</f>
        <v>180</v>
      </c>
      <c r="R25" s="22"/>
      <c r="S25" s="97"/>
    </row>
    <row r="26" spans="1:19" s="1" customFormat="1" ht="16.5" customHeight="1">
      <c r="A26" s="22"/>
      <c r="B26" s="24"/>
      <c r="C26" s="24"/>
      <c r="D26" s="24"/>
      <c r="E26" s="24"/>
      <c r="F26" s="24"/>
      <c r="G26" s="24"/>
      <c r="H26" s="24"/>
      <c r="I26" s="24"/>
      <c r="J26" s="24"/>
      <c r="K26" s="24"/>
      <c r="L26" s="24"/>
      <c r="M26" s="24"/>
      <c r="N26" s="24"/>
      <c r="O26" s="24"/>
      <c r="P26" s="24"/>
      <c r="Q26" s="24"/>
      <c r="R26" s="22"/>
      <c r="S26" s="97"/>
    </row>
    <row r="27" spans="1:19" s="1" customFormat="1" ht="16.5" customHeight="1">
      <c r="A27" s="5"/>
      <c r="B27" s="23"/>
      <c r="C27" s="5"/>
      <c r="D27" s="5"/>
      <c r="E27" s="5"/>
      <c r="F27" s="5"/>
      <c r="G27" s="5"/>
      <c r="H27" s="5"/>
      <c r="I27" s="5"/>
      <c r="J27" s="5"/>
      <c r="K27" s="5"/>
      <c r="L27" s="5"/>
      <c r="M27" s="5"/>
      <c r="N27" s="5"/>
      <c r="O27" s="5"/>
      <c r="P27" s="5"/>
      <c r="Q27" s="5"/>
      <c r="R27" s="5"/>
      <c r="S27" s="97"/>
    </row>
    <row r="28" spans="1:19" s="1" customFormat="1" ht="15" customHeight="1">
      <c r="B28" s="7" t="s">
        <v>58</v>
      </c>
      <c r="E28" s="5"/>
      <c r="K28" s="177"/>
      <c r="L28" s="89"/>
      <c r="M28" s="176"/>
      <c r="N28" s="6"/>
      <c r="O28" s="2"/>
      <c r="P28" s="2"/>
      <c r="Q28" s="2"/>
      <c r="R28" s="2"/>
      <c r="S28" s="83"/>
    </row>
    <row r="29" spans="1:19" s="1" customFormat="1" ht="16.5" customHeight="1">
      <c r="E29" s="8"/>
      <c r="H29" s="8"/>
      <c r="I29" s="179"/>
      <c r="J29" s="179"/>
      <c r="K29" s="83"/>
      <c r="L29" s="83"/>
      <c r="M29" s="83"/>
      <c r="S29" s="83"/>
    </row>
    <row r="30" spans="1:19" s="1" customFormat="1" ht="16.5" customHeight="1">
      <c r="A30" s="5"/>
      <c r="B30" s="226" t="s">
        <v>126</v>
      </c>
      <c r="C30" s="227"/>
      <c r="D30" s="227"/>
      <c r="E30" s="227"/>
      <c r="F30" s="227"/>
      <c r="G30" s="227"/>
      <c r="Q30" s="83"/>
      <c r="R30" s="171"/>
      <c r="S30" s="83"/>
    </row>
    <row r="31" spans="1:19" s="1" customFormat="1" ht="9.75" customHeight="1">
      <c r="A31" s="5"/>
      <c r="B31" s="5"/>
      <c r="C31" s="5"/>
      <c r="D31" s="9"/>
      <c r="Q31" s="83"/>
      <c r="R31" s="171"/>
      <c r="S31" s="83"/>
    </row>
    <row r="32" spans="1:19" s="14" customFormat="1" ht="16.5" customHeight="1">
      <c r="A32" s="11"/>
      <c r="B32" s="12"/>
      <c r="C32" s="292"/>
      <c r="D32" s="166">
        <f>EOMONTH(Instructions!$D$14,0)</f>
        <v>41851</v>
      </c>
      <c r="E32" s="167">
        <f>EOMONTH(D32,1)</f>
        <v>41882</v>
      </c>
      <c r="F32" s="167">
        <f t="shared" ref="F32:O32" si="3">EOMONTH(E32,1)</f>
        <v>41912</v>
      </c>
      <c r="G32" s="167">
        <f t="shared" si="3"/>
        <v>41943</v>
      </c>
      <c r="H32" s="167">
        <f t="shared" si="3"/>
        <v>41973</v>
      </c>
      <c r="I32" s="167">
        <f t="shared" si="3"/>
        <v>42004</v>
      </c>
      <c r="J32" s="167">
        <f t="shared" si="3"/>
        <v>42035</v>
      </c>
      <c r="K32" s="167">
        <f t="shared" si="3"/>
        <v>42063</v>
      </c>
      <c r="L32" s="167">
        <f t="shared" si="3"/>
        <v>42094</v>
      </c>
      <c r="M32" s="167">
        <f t="shared" si="3"/>
        <v>42124</v>
      </c>
      <c r="N32" s="167">
        <f t="shared" si="3"/>
        <v>42155</v>
      </c>
      <c r="O32" s="168">
        <f t="shared" si="3"/>
        <v>42185</v>
      </c>
      <c r="P32" s="41"/>
      <c r="Q32" s="172" t="s">
        <v>0</v>
      </c>
      <c r="R32" s="173"/>
      <c r="S32" s="106"/>
    </row>
    <row r="33" spans="1:19" s="14" customFormat="1" ht="16.5" customHeight="1">
      <c r="A33" s="11"/>
      <c r="B33" s="93" t="s">
        <v>124</v>
      </c>
      <c r="C33" s="292"/>
      <c r="D33" s="285">
        <v>1100</v>
      </c>
      <c r="E33" s="284">
        <v>1000</v>
      </c>
      <c r="F33" s="284">
        <v>950</v>
      </c>
      <c r="G33" s="284">
        <v>1500</v>
      </c>
      <c r="H33" s="284">
        <v>1000</v>
      </c>
      <c r="I33" s="284"/>
      <c r="J33" s="284"/>
      <c r="K33" s="284"/>
      <c r="L33" s="284"/>
      <c r="M33" s="284"/>
      <c r="N33" s="284"/>
      <c r="O33" s="286"/>
      <c r="P33" s="41"/>
      <c r="Q33" s="247"/>
      <c r="R33" s="173"/>
      <c r="S33" s="106"/>
    </row>
    <row r="34" spans="1:19" s="14" customFormat="1" ht="16.5" customHeight="1">
      <c r="A34" s="11"/>
      <c r="B34" s="95" t="s">
        <v>125</v>
      </c>
      <c r="C34" s="292"/>
      <c r="D34" s="285">
        <v>1200</v>
      </c>
      <c r="E34" s="284">
        <v>1300</v>
      </c>
      <c r="F34" s="284">
        <v>1150</v>
      </c>
      <c r="G34" s="284">
        <v>1200</v>
      </c>
      <c r="H34" s="284">
        <v>952</v>
      </c>
      <c r="I34" s="284">
        <v>900</v>
      </c>
      <c r="J34" s="284">
        <v>900</v>
      </c>
      <c r="K34" s="284">
        <v>900</v>
      </c>
      <c r="L34" s="284">
        <v>900</v>
      </c>
      <c r="M34" s="284">
        <v>900</v>
      </c>
      <c r="N34" s="284">
        <v>900</v>
      </c>
      <c r="O34" s="286">
        <v>900</v>
      </c>
      <c r="P34" s="41"/>
      <c r="Q34" s="247"/>
      <c r="R34" s="173"/>
      <c r="S34" s="106"/>
    </row>
    <row r="35" spans="1:19" s="14" customFormat="1" ht="16.5" customHeight="1">
      <c r="A35" s="11"/>
      <c r="B35" s="93" t="s">
        <v>172</v>
      </c>
      <c r="C35" s="292"/>
      <c r="D35" s="285">
        <v>1300</v>
      </c>
      <c r="E35" s="284">
        <v>1300</v>
      </c>
      <c r="F35" s="284">
        <v>1300</v>
      </c>
      <c r="G35" s="284">
        <v>1300</v>
      </c>
      <c r="H35" s="284">
        <v>1300</v>
      </c>
      <c r="I35" s="284">
        <v>1300</v>
      </c>
      <c r="J35" s="284">
        <v>1300</v>
      </c>
      <c r="K35" s="284">
        <v>1300</v>
      </c>
      <c r="L35" s="284">
        <v>1300</v>
      </c>
      <c r="M35" s="284">
        <v>1300</v>
      </c>
      <c r="N35" s="284">
        <v>1300</v>
      </c>
      <c r="O35" s="286">
        <v>1300</v>
      </c>
      <c r="P35" s="41"/>
      <c r="Q35" s="247"/>
      <c r="R35" s="173"/>
      <c r="S35" s="106"/>
    </row>
    <row r="36" spans="1:19" s="14" customFormat="1" ht="16.5" customHeight="1">
      <c r="A36" s="11"/>
      <c r="B36" s="93" t="s">
        <v>171</v>
      </c>
      <c r="C36" s="292"/>
      <c r="D36" s="290">
        <f>D33-D35</f>
        <v>-200</v>
      </c>
      <c r="E36" s="255">
        <f>IF(E33&gt;0,E33-E35,0)</f>
        <v>-300</v>
      </c>
      <c r="F36" s="255">
        <f t="shared" ref="F36:O36" si="4">IF(F33&gt;0,F33-F35,0)</f>
        <v>-350</v>
      </c>
      <c r="G36" s="255">
        <f t="shared" si="4"/>
        <v>200</v>
      </c>
      <c r="H36" s="255">
        <f t="shared" si="4"/>
        <v>-300</v>
      </c>
      <c r="I36" s="255">
        <f t="shared" si="4"/>
        <v>0</v>
      </c>
      <c r="J36" s="255">
        <f t="shared" si="4"/>
        <v>0</v>
      </c>
      <c r="K36" s="255">
        <f t="shared" si="4"/>
        <v>0</v>
      </c>
      <c r="L36" s="255">
        <f t="shared" si="4"/>
        <v>0</v>
      </c>
      <c r="M36" s="255">
        <f t="shared" si="4"/>
        <v>0</v>
      </c>
      <c r="N36" s="255">
        <f t="shared" si="4"/>
        <v>0</v>
      </c>
      <c r="O36" s="291">
        <f t="shared" si="4"/>
        <v>0</v>
      </c>
      <c r="P36" s="41"/>
      <c r="Q36" s="247"/>
      <c r="R36" s="173"/>
      <c r="S36" s="106"/>
    </row>
    <row r="37" spans="1:19" s="14" customFormat="1" ht="16.5" customHeight="1">
      <c r="A37" s="11"/>
      <c r="B37" s="293" t="s">
        <v>173</v>
      </c>
      <c r="D37" s="294">
        <f>D36</f>
        <v>-200</v>
      </c>
      <c r="E37" s="295">
        <f>D37+E36</f>
        <v>-500</v>
      </c>
      <c r="F37" s="295">
        <f t="shared" ref="F37:O37" si="5">E37+F36</f>
        <v>-850</v>
      </c>
      <c r="G37" s="295">
        <f t="shared" si="5"/>
        <v>-650</v>
      </c>
      <c r="H37" s="295">
        <f t="shared" si="5"/>
        <v>-950</v>
      </c>
      <c r="I37" s="295">
        <f t="shared" si="5"/>
        <v>-950</v>
      </c>
      <c r="J37" s="295">
        <f t="shared" si="5"/>
        <v>-950</v>
      </c>
      <c r="K37" s="295">
        <f t="shared" si="5"/>
        <v>-950</v>
      </c>
      <c r="L37" s="295">
        <f t="shared" si="5"/>
        <v>-950</v>
      </c>
      <c r="M37" s="295">
        <f t="shared" si="5"/>
        <v>-950</v>
      </c>
      <c r="N37" s="295">
        <f t="shared" si="5"/>
        <v>-950</v>
      </c>
      <c r="O37" s="296">
        <f t="shared" si="5"/>
        <v>-950</v>
      </c>
      <c r="P37" s="71"/>
      <c r="Q37" s="174"/>
      <c r="R37" s="173"/>
      <c r="S37" s="106"/>
    </row>
    <row r="38" spans="1:19" s="14" customFormat="1" ht="16.5" customHeight="1">
      <c r="A38" s="11"/>
      <c r="B38" s="40"/>
      <c r="C38" s="16"/>
      <c r="D38" s="39"/>
      <c r="E38" s="39"/>
      <c r="F38" s="39"/>
      <c r="G38" s="39"/>
      <c r="H38" s="39"/>
      <c r="I38" s="39"/>
      <c r="J38" s="39"/>
      <c r="K38" s="39"/>
      <c r="L38" s="39"/>
      <c r="M38" s="39"/>
      <c r="N38" s="39"/>
      <c r="O38" s="39"/>
      <c r="P38" s="17"/>
      <c r="Q38" s="175"/>
      <c r="R38" s="173"/>
      <c r="S38" s="106"/>
    </row>
    <row r="39" spans="1:19" s="14" customFormat="1" ht="16.5" customHeight="1">
      <c r="A39" s="11"/>
      <c r="B39" s="40"/>
      <c r="C39" s="16"/>
      <c r="D39" s="39"/>
      <c r="E39" s="39"/>
      <c r="F39" s="39"/>
      <c r="G39" s="39"/>
      <c r="H39" s="39"/>
      <c r="I39" s="39"/>
      <c r="J39" s="39"/>
      <c r="K39" s="39"/>
      <c r="L39" s="39"/>
      <c r="M39" s="39"/>
      <c r="N39" s="39"/>
      <c r="O39" s="39"/>
      <c r="P39" s="17"/>
      <c r="Q39" s="175"/>
      <c r="R39" s="173"/>
      <c r="S39" s="96"/>
    </row>
    <row r="40" spans="1:19" s="1" customFormat="1" ht="16.5" customHeight="1">
      <c r="A40" s="11"/>
      <c r="B40" s="226" t="s">
        <v>14</v>
      </c>
      <c r="C40" s="227"/>
      <c r="D40" s="227"/>
      <c r="E40" s="227"/>
      <c r="F40" s="227"/>
      <c r="G40" s="227"/>
      <c r="Q40" s="83"/>
      <c r="R40" s="171"/>
      <c r="S40" s="97"/>
    </row>
    <row r="41" spans="1:19" s="1" customFormat="1" ht="9.75" customHeight="1">
      <c r="A41" s="11"/>
      <c r="B41" s="5"/>
      <c r="C41" s="5"/>
      <c r="D41" s="9"/>
      <c r="Q41" s="5"/>
      <c r="R41" s="10"/>
      <c r="S41" s="97"/>
    </row>
    <row r="42" spans="1:19" s="14" customFormat="1" ht="16.5" customHeight="1">
      <c r="A42" s="11"/>
      <c r="B42" s="12"/>
      <c r="C42" s="13"/>
      <c r="D42" s="166">
        <f>EOMONTH(Instructions!$D$14,0)</f>
        <v>41851</v>
      </c>
      <c r="E42" s="167">
        <f>EOMONTH(D42,1)</f>
        <v>41882</v>
      </c>
      <c r="F42" s="167">
        <f t="shared" ref="F42:O42" si="6">EOMONTH(E42,1)</f>
        <v>41912</v>
      </c>
      <c r="G42" s="167">
        <f t="shared" si="6"/>
        <v>41943</v>
      </c>
      <c r="H42" s="167">
        <f t="shared" si="6"/>
        <v>41973</v>
      </c>
      <c r="I42" s="167">
        <f t="shared" si="6"/>
        <v>42004</v>
      </c>
      <c r="J42" s="167">
        <f t="shared" si="6"/>
        <v>42035</v>
      </c>
      <c r="K42" s="167">
        <f t="shared" si="6"/>
        <v>42063</v>
      </c>
      <c r="L42" s="167">
        <f t="shared" si="6"/>
        <v>42094</v>
      </c>
      <c r="M42" s="167">
        <f t="shared" si="6"/>
        <v>42124</v>
      </c>
      <c r="N42" s="167">
        <f t="shared" si="6"/>
        <v>42155</v>
      </c>
      <c r="O42" s="168">
        <f t="shared" si="6"/>
        <v>42185</v>
      </c>
      <c r="Q42" s="12"/>
      <c r="R42" s="11"/>
      <c r="S42" s="98"/>
    </row>
    <row r="43" spans="1:19" s="14" customFormat="1" ht="16.5" customHeight="1">
      <c r="A43" s="11"/>
      <c r="B43" s="93" t="s">
        <v>124</v>
      </c>
      <c r="C43" s="13"/>
      <c r="D43" s="285">
        <v>55</v>
      </c>
      <c r="E43" s="284">
        <v>55</v>
      </c>
      <c r="F43" s="284">
        <v>45</v>
      </c>
      <c r="G43" s="284">
        <v>45</v>
      </c>
      <c r="H43" s="284">
        <v>20</v>
      </c>
      <c r="I43" s="284"/>
      <c r="J43" s="284"/>
      <c r="K43" s="284"/>
      <c r="L43" s="284"/>
      <c r="M43" s="284"/>
      <c r="N43" s="284"/>
      <c r="O43" s="286"/>
      <c r="Q43" s="246"/>
      <c r="R43" s="11"/>
      <c r="S43" s="98"/>
    </row>
    <row r="44" spans="1:19" s="14" customFormat="1" ht="16.5" customHeight="1">
      <c r="A44" s="11"/>
      <c r="B44" s="95" t="s">
        <v>125</v>
      </c>
      <c r="C44" s="16"/>
      <c r="D44" s="285">
        <v>40</v>
      </c>
      <c r="E44" s="284">
        <v>40</v>
      </c>
      <c r="F44" s="284">
        <v>40</v>
      </c>
      <c r="G44" s="284">
        <v>40</v>
      </c>
      <c r="H44" s="284">
        <v>40</v>
      </c>
      <c r="I44" s="284">
        <v>40</v>
      </c>
      <c r="J44" s="284">
        <v>40</v>
      </c>
      <c r="K44" s="284">
        <v>40</v>
      </c>
      <c r="L44" s="284">
        <v>40</v>
      </c>
      <c r="M44" s="284">
        <v>40</v>
      </c>
      <c r="N44" s="284">
        <v>40</v>
      </c>
      <c r="O44" s="286">
        <v>40</v>
      </c>
      <c r="Q44" s="246"/>
      <c r="R44" s="11"/>
      <c r="S44" s="98"/>
    </row>
    <row r="45" spans="1:19" s="14" customFormat="1" ht="16.5" customHeight="1">
      <c r="A45" s="11"/>
      <c r="B45" s="93" t="s">
        <v>172</v>
      </c>
      <c r="C45" s="13"/>
      <c r="D45" s="285">
        <v>50</v>
      </c>
      <c r="E45" s="284">
        <v>50</v>
      </c>
      <c r="F45" s="284">
        <v>50</v>
      </c>
      <c r="G45" s="284">
        <v>50</v>
      </c>
      <c r="H45" s="284">
        <v>50</v>
      </c>
      <c r="I45" s="284">
        <v>50</v>
      </c>
      <c r="J45" s="284">
        <v>50</v>
      </c>
      <c r="K45" s="284">
        <v>50</v>
      </c>
      <c r="L45" s="284">
        <v>50</v>
      </c>
      <c r="M45" s="284">
        <v>50</v>
      </c>
      <c r="N45" s="284">
        <v>50</v>
      </c>
      <c r="O45" s="286">
        <v>50</v>
      </c>
      <c r="Q45" s="246"/>
      <c r="R45" s="11"/>
      <c r="S45" s="98"/>
    </row>
    <row r="46" spans="1:19" s="14" customFormat="1" ht="16.5" customHeight="1">
      <c r="A46" s="11"/>
      <c r="B46" s="93" t="s">
        <v>171</v>
      </c>
      <c r="C46" s="13"/>
      <c r="D46" s="290">
        <f>D43-D45</f>
        <v>5</v>
      </c>
      <c r="E46" s="255">
        <f>IF(E43&gt;0,E43-E45,0)</f>
        <v>5</v>
      </c>
      <c r="F46" s="255">
        <f t="shared" ref="F46" si="7">IF(F43&gt;0,F43-F45,0)</f>
        <v>-5</v>
      </c>
      <c r="G46" s="255">
        <f t="shared" ref="G46" si="8">IF(G43&gt;0,G43-G45,0)</f>
        <v>-5</v>
      </c>
      <c r="H46" s="255">
        <f t="shared" ref="H46" si="9">IF(H43&gt;0,H43-H45,0)</f>
        <v>-30</v>
      </c>
      <c r="I46" s="255">
        <f t="shared" ref="I46" si="10">IF(I43&gt;0,I43-I45,0)</f>
        <v>0</v>
      </c>
      <c r="J46" s="255">
        <f t="shared" ref="J46" si="11">IF(J43&gt;0,J43-J45,0)</f>
        <v>0</v>
      </c>
      <c r="K46" s="255">
        <f t="shared" ref="K46" si="12">IF(K43&gt;0,K43-K45,0)</f>
        <v>0</v>
      </c>
      <c r="L46" s="255">
        <f t="shared" ref="L46" si="13">IF(L43&gt;0,L43-L45,0)</f>
        <v>0</v>
      </c>
      <c r="M46" s="255">
        <f t="shared" ref="M46" si="14">IF(M43&gt;0,M43-M45,0)</f>
        <v>0</v>
      </c>
      <c r="N46" s="255">
        <f t="shared" ref="N46" si="15">IF(N43&gt;0,N43-N45,0)</f>
        <v>0</v>
      </c>
      <c r="O46" s="291">
        <f t="shared" ref="O46" si="16">IF(O43&gt;0,O43-O45,0)</f>
        <v>0</v>
      </c>
      <c r="Q46" s="246"/>
      <c r="R46" s="11"/>
      <c r="S46" s="98"/>
    </row>
    <row r="47" spans="1:19" s="14" customFormat="1" ht="16.5" customHeight="1">
      <c r="A47" s="11"/>
      <c r="B47" s="293" t="s">
        <v>173</v>
      </c>
      <c r="D47" s="294">
        <f>D46</f>
        <v>5</v>
      </c>
      <c r="E47" s="295">
        <f>D47+E46</f>
        <v>10</v>
      </c>
      <c r="F47" s="295">
        <f t="shared" ref="F47" si="17">E47+F46</f>
        <v>5</v>
      </c>
      <c r="G47" s="295">
        <f t="shared" ref="G47" si="18">F47+G46</f>
        <v>0</v>
      </c>
      <c r="H47" s="295">
        <f t="shared" ref="H47" si="19">G47+H46</f>
        <v>-30</v>
      </c>
      <c r="I47" s="295">
        <f t="shared" ref="I47" si="20">H47+I46</f>
        <v>-30</v>
      </c>
      <c r="J47" s="295">
        <f t="shared" ref="J47" si="21">I47+J46</f>
        <v>-30</v>
      </c>
      <c r="K47" s="295">
        <f t="shared" ref="K47" si="22">J47+K46</f>
        <v>-30</v>
      </c>
      <c r="L47" s="295">
        <f t="shared" ref="L47" si="23">K47+L46</f>
        <v>-30</v>
      </c>
      <c r="M47" s="295">
        <f t="shared" ref="M47" si="24">L47+M46</f>
        <v>-30</v>
      </c>
      <c r="N47" s="295">
        <f t="shared" ref="N47" si="25">M47+N46</f>
        <v>-30</v>
      </c>
      <c r="O47" s="296">
        <f t="shared" ref="O47" si="26">N47+O46</f>
        <v>-30</v>
      </c>
      <c r="P47" s="71"/>
      <c r="Q47" s="170"/>
      <c r="R47" s="11"/>
      <c r="S47" s="96"/>
    </row>
    <row r="48" spans="1:19" s="14" customFormat="1" ht="16.5" customHeight="1">
      <c r="A48" s="11"/>
      <c r="B48" s="40"/>
      <c r="C48" s="16"/>
      <c r="D48" s="17"/>
      <c r="E48" s="17"/>
      <c r="F48" s="17"/>
      <c r="G48" s="17"/>
      <c r="H48" s="17"/>
      <c r="I48" s="17"/>
      <c r="J48" s="17"/>
      <c r="K48" s="17"/>
      <c r="L48" s="17"/>
      <c r="M48" s="17"/>
      <c r="N48" s="17"/>
      <c r="O48" s="17"/>
      <c r="P48" s="17"/>
      <c r="Q48" s="17"/>
      <c r="R48" s="11"/>
      <c r="S48" s="96"/>
    </row>
    <row r="49" spans="1:19" s="1" customFormat="1" ht="16.5" customHeight="1">
      <c r="A49" s="5"/>
      <c r="B49" s="5"/>
      <c r="C49" s="5"/>
      <c r="D49" s="18"/>
      <c r="E49" s="18"/>
      <c r="F49" s="18"/>
      <c r="G49" s="18"/>
      <c r="H49" s="18"/>
      <c r="I49" s="18"/>
      <c r="J49" s="18"/>
      <c r="K49" s="18"/>
      <c r="L49" s="18"/>
      <c r="M49" s="18"/>
      <c r="N49" s="18"/>
      <c r="O49" s="18"/>
      <c r="Q49" s="10"/>
      <c r="R49" s="5"/>
      <c r="S49" s="97"/>
    </row>
    <row r="50" spans="1:19" s="1" customFormat="1" ht="16.5" customHeight="1">
      <c r="A50" s="5"/>
      <c r="B50" s="226" t="s">
        <v>13</v>
      </c>
      <c r="C50" s="228"/>
      <c r="D50" s="229"/>
      <c r="E50" s="229"/>
      <c r="F50" s="229"/>
      <c r="G50" s="229"/>
      <c r="H50" s="18"/>
      <c r="I50" s="18"/>
      <c r="J50" s="18"/>
      <c r="K50" s="18"/>
      <c r="L50" s="18"/>
      <c r="M50" s="18"/>
      <c r="N50" s="18"/>
      <c r="O50" s="18"/>
      <c r="Q50" s="10"/>
      <c r="R50" s="5"/>
      <c r="S50" s="97"/>
    </row>
    <row r="51" spans="1:19" s="1" customFormat="1" ht="9.75" customHeight="1">
      <c r="A51" s="5"/>
      <c r="B51" s="5"/>
      <c r="C51" s="5"/>
      <c r="E51" s="5"/>
      <c r="F51" s="5"/>
      <c r="G51" s="5"/>
      <c r="H51" s="5"/>
      <c r="I51" s="5"/>
      <c r="J51" s="5"/>
      <c r="K51" s="5"/>
      <c r="L51" s="5"/>
      <c r="M51" s="5"/>
      <c r="N51" s="5"/>
      <c r="O51" s="5"/>
      <c r="P51" s="5"/>
      <c r="Q51" s="5"/>
      <c r="R51" s="5"/>
      <c r="S51" s="97"/>
    </row>
    <row r="52" spans="1:19" s="14" customFormat="1" ht="16.5" customHeight="1">
      <c r="A52" s="11"/>
      <c r="B52" s="12"/>
      <c r="C52" s="13"/>
      <c r="D52" s="166">
        <f>EOMONTH(Instructions!$D$14,0)</f>
        <v>41851</v>
      </c>
      <c r="E52" s="167">
        <f>EOMONTH(D52,1)</f>
        <v>41882</v>
      </c>
      <c r="F52" s="167">
        <f t="shared" ref="F52:O52" si="27">EOMONTH(E52,1)</f>
        <v>41912</v>
      </c>
      <c r="G52" s="167">
        <f t="shared" si="27"/>
        <v>41943</v>
      </c>
      <c r="H52" s="167">
        <f t="shared" si="27"/>
        <v>41973</v>
      </c>
      <c r="I52" s="167">
        <f t="shared" si="27"/>
        <v>42004</v>
      </c>
      <c r="J52" s="167">
        <f t="shared" si="27"/>
        <v>42035</v>
      </c>
      <c r="K52" s="167">
        <f t="shared" si="27"/>
        <v>42063</v>
      </c>
      <c r="L52" s="167">
        <f t="shared" si="27"/>
        <v>42094</v>
      </c>
      <c r="M52" s="167">
        <f t="shared" si="27"/>
        <v>42124</v>
      </c>
      <c r="N52" s="167">
        <f t="shared" si="27"/>
        <v>42155</v>
      </c>
      <c r="O52" s="168">
        <f t="shared" si="27"/>
        <v>42185</v>
      </c>
      <c r="Q52" s="12"/>
      <c r="R52" s="11"/>
      <c r="S52" s="96"/>
    </row>
    <row r="53" spans="1:19" s="14" customFormat="1" ht="16.5" customHeight="1">
      <c r="A53" s="11"/>
      <c r="B53" s="93" t="s">
        <v>124</v>
      </c>
      <c r="C53" s="13"/>
      <c r="D53" s="285">
        <v>120</v>
      </c>
      <c r="E53" s="284">
        <v>115</v>
      </c>
      <c r="F53" s="284">
        <v>150</v>
      </c>
      <c r="G53" s="284">
        <v>115</v>
      </c>
      <c r="H53" s="284">
        <v>95</v>
      </c>
      <c r="I53" s="284"/>
      <c r="J53" s="284"/>
      <c r="K53" s="284"/>
      <c r="L53" s="284"/>
      <c r="M53" s="284"/>
      <c r="N53" s="284"/>
      <c r="O53" s="286"/>
      <c r="Q53" s="246"/>
      <c r="R53" s="11"/>
      <c r="S53" s="96"/>
    </row>
    <row r="54" spans="1:19" s="14" customFormat="1" ht="16.5" customHeight="1">
      <c r="A54" s="11"/>
      <c r="B54" s="95" t="s">
        <v>125</v>
      </c>
      <c r="C54" s="16"/>
      <c r="D54" s="285">
        <v>120</v>
      </c>
      <c r="E54" s="284">
        <v>120</v>
      </c>
      <c r="F54" s="284">
        <v>120</v>
      </c>
      <c r="G54" s="284">
        <v>120</v>
      </c>
      <c r="H54" s="284">
        <v>120</v>
      </c>
      <c r="I54" s="284">
        <v>120</v>
      </c>
      <c r="J54" s="284">
        <v>120</v>
      </c>
      <c r="K54" s="284">
        <v>120</v>
      </c>
      <c r="L54" s="284">
        <v>120</v>
      </c>
      <c r="M54" s="284">
        <v>120</v>
      </c>
      <c r="N54" s="284">
        <v>120</v>
      </c>
      <c r="O54" s="286">
        <v>120</v>
      </c>
      <c r="Q54" s="246"/>
      <c r="R54" s="11"/>
      <c r="S54" s="96"/>
    </row>
    <row r="55" spans="1:19" s="14" customFormat="1" ht="16.5" customHeight="1">
      <c r="A55" s="11"/>
      <c r="B55" s="93" t="s">
        <v>172</v>
      </c>
      <c r="C55" s="13"/>
      <c r="D55" s="285">
        <v>110</v>
      </c>
      <c r="E55" s="284">
        <v>110</v>
      </c>
      <c r="F55" s="284">
        <v>110</v>
      </c>
      <c r="G55" s="284">
        <v>110</v>
      </c>
      <c r="H55" s="284">
        <v>110</v>
      </c>
      <c r="I55" s="284">
        <v>110</v>
      </c>
      <c r="J55" s="284">
        <v>110</v>
      </c>
      <c r="K55" s="284">
        <v>110</v>
      </c>
      <c r="L55" s="284">
        <v>110</v>
      </c>
      <c r="M55" s="284">
        <v>110</v>
      </c>
      <c r="N55" s="284">
        <v>110</v>
      </c>
      <c r="O55" s="286">
        <v>110</v>
      </c>
      <c r="Q55" s="246"/>
      <c r="R55" s="11"/>
      <c r="S55" s="96"/>
    </row>
    <row r="56" spans="1:19" s="14" customFormat="1" ht="16.5" customHeight="1">
      <c r="A56" s="11"/>
      <c r="B56" s="93" t="s">
        <v>171</v>
      </c>
      <c r="C56" s="13"/>
      <c r="D56" s="290">
        <f>D53-D55</f>
        <v>10</v>
      </c>
      <c r="E56" s="255">
        <f>IF(E53&gt;0,E53-E55,0)</f>
        <v>5</v>
      </c>
      <c r="F56" s="255">
        <f t="shared" ref="F56" si="28">IF(F53&gt;0,F53-F55,0)</f>
        <v>40</v>
      </c>
      <c r="G56" s="255">
        <f t="shared" ref="G56" si="29">IF(G53&gt;0,G53-G55,0)</f>
        <v>5</v>
      </c>
      <c r="H56" s="255">
        <f t="shared" ref="H56" si="30">IF(H53&gt;0,H53-H55,0)</f>
        <v>-15</v>
      </c>
      <c r="I56" s="255">
        <f t="shared" ref="I56" si="31">IF(I53&gt;0,I53-I55,0)</f>
        <v>0</v>
      </c>
      <c r="J56" s="255">
        <f t="shared" ref="J56" si="32">IF(J53&gt;0,J53-J55,0)</f>
        <v>0</v>
      </c>
      <c r="K56" s="255">
        <f t="shared" ref="K56" si="33">IF(K53&gt;0,K53-K55,0)</f>
        <v>0</v>
      </c>
      <c r="L56" s="255">
        <f t="shared" ref="L56" si="34">IF(L53&gt;0,L53-L55,0)</f>
        <v>0</v>
      </c>
      <c r="M56" s="255">
        <f t="shared" ref="M56" si="35">IF(M53&gt;0,M53-M55,0)</f>
        <v>0</v>
      </c>
      <c r="N56" s="255">
        <f t="shared" ref="N56" si="36">IF(N53&gt;0,N53-N55,0)</f>
        <v>0</v>
      </c>
      <c r="O56" s="291">
        <f t="shared" ref="O56" si="37">IF(O53&gt;0,O53-O55,0)</f>
        <v>0</v>
      </c>
      <c r="Q56" s="246"/>
      <c r="R56" s="11"/>
      <c r="S56" s="96"/>
    </row>
    <row r="57" spans="1:19" s="14" customFormat="1" ht="16.5" customHeight="1">
      <c r="A57" s="11"/>
      <c r="B57" s="293" t="s">
        <v>173</v>
      </c>
      <c r="D57" s="294">
        <f>D56</f>
        <v>10</v>
      </c>
      <c r="E57" s="295">
        <f>D57+E56</f>
        <v>15</v>
      </c>
      <c r="F57" s="295">
        <f t="shared" ref="F57" si="38">E57+F56</f>
        <v>55</v>
      </c>
      <c r="G57" s="295">
        <f t="shared" ref="G57" si="39">F57+G56</f>
        <v>60</v>
      </c>
      <c r="H57" s="295">
        <f t="shared" ref="H57" si="40">G57+H56</f>
        <v>45</v>
      </c>
      <c r="I57" s="295">
        <f t="shared" ref="I57" si="41">H57+I56</f>
        <v>45</v>
      </c>
      <c r="J57" s="295">
        <f t="shared" ref="J57" si="42">I57+J56</f>
        <v>45</v>
      </c>
      <c r="K57" s="295">
        <f t="shared" ref="K57" si="43">J57+K56</f>
        <v>45</v>
      </c>
      <c r="L57" s="295">
        <f t="shared" ref="L57" si="44">K57+L56</f>
        <v>45</v>
      </c>
      <c r="M57" s="295">
        <f t="shared" ref="M57" si="45">L57+M56</f>
        <v>45</v>
      </c>
      <c r="N57" s="295">
        <f t="shared" ref="N57" si="46">M57+N56</f>
        <v>45</v>
      </c>
      <c r="O57" s="296">
        <f t="shared" ref="O57" si="47">N57+O56</f>
        <v>45</v>
      </c>
      <c r="P57" s="17"/>
      <c r="Q57" s="15"/>
      <c r="R57" s="11"/>
      <c r="S57" s="96"/>
    </row>
    <row r="58" spans="1:19" s="37" customFormat="1" ht="16.5" customHeight="1">
      <c r="A58" s="36"/>
      <c r="B58" s="105"/>
      <c r="C58" s="34"/>
      <c r="D58" s="38"/>
      <c r="E58" s="38"/>
      <c r="F58" s="38"/>
      <c r="G58" s="38"/>
      <c r="H58" s="38"/>
      <c r="I58" s="38"/>
      <c r="J58" s="38"/>
      <c r="K58" s="38"/>
      <c r="L58" s="38"/>
      <c r="M58" s="38"/>
      <c r="N58" s="38"/>
      <c r="O58" s="38"/>
      <c r="P58" s="35"/>
      <c r="Q58" s="33"/>
      <c r="R58" s="36"/>
      <c r="S58" s="97"/>
    </row>
    <row r="59" spans="1:19" s="27" customFormat="1" ht="16.5" customHeight="1">
      <c r="A59" s="83"/>
      <c r="B59" s="89"/>
      <c r="C59" s="29"/>
      <c r="D59" s="5"/>
      <c r="E59" s="135"/>
      <c r="F59" s="134"/>
      <c r="G59" s="5"/>
      <c r="H59" s="47"/>
      <c r="I59" s="5"/>
      <c r="J59" s="5"/>
      <c r="K59" s="47"/>
      <c r="L59" s="5"/>
      <c r="M59" s="45"/>
      <c r="N59" s="5"/>
      <c r="O59" s="45"/>
      <c r="P59" s="45"/>
      <c r="Q59" s="5"/>
      <c r="R59" s="5"/>
      <c r="S59" s="99"/>
    </row>
    <row r="60" spans="1:19" s="27" customFormat="1" ht="16.5" customHeight="1">
      <c r="A60" s="83"/>
      <c r="B60" s="89"/>
      <c r="C60" s="29"/>
      <c r="D60" s="5"/>
      <c r="E60" s="135"/>
      <c r="F60" s="134"/>
      <c r="G60" s="5"/>
      <c r="H60" s="47"/>
      <c r="I60" s="5"/>
      <c r="J60" s="5"/>
      <c r="K60" s="47"/>
      <c r="L60" s="5"/>
      <c r="M60" s="45"/>
      <c r="N60" s="5"/>
      <c r="O60" s="45"/>
      <c r="P60" s="45"/>
      <c r="Q60" s="5"/>
      <c r="R60" s="5"/>
      <c r="S60" s="99"/>
    </row>
    <row r="61" spans="1:19" s="27" customFormat="1" ht="16.5" customHeight="1">
      <c r="A61" s="83"/>
      <c r="B61" s="89"/>
      <c r="C61" s="29"/>
      <c r="D61" s="5"/>
      <c r="E61" s="135"/>
      <c r="F61" s="134"/>
      <c r="G61" s="5"/>
      <c r="H61" s="47"/>
      <c r="I61" s="5"/>
      <c r="J61" s="5"/>
      <c r="K61" s="47"/>
      <c r="L61" s="5"/>
      <c r="M61" s="45"/>
      <c r="N61" s="5"/>
      <c r="O61" s="45"/>
      <c r="P61" s="45"/>
      <c r="Q61" s="5"/>
      <c r="R61" s="5"/>
      <c r="S61" s="99"/>
    </row>
    <row r="62" spans="1:19" s="27" customFormat="1" ht="16.5" customHeight="1">
      <c r="A62" s="83"/>
      <c r="B62" s="89"/>
      <c r="C62" s="29"/>
      <c r="D62" s="5"/>
      <c r="E62" s="135"/>
      <c r="F62" s="134"/>
      <c r="G62" s="5"/>
      <c r="H62" s="47"/>
      <c r="I62" s="5"/>
      <c r="J62" s="5"/>
      <c r="K62" s="47"/>
      <c r="L62" s="5"/>
      <c r="M62" s="45"/>
      <c r="N62" s="5"/>
      <c r="O62" s="45"/>
      <c r="P62" s="45"/>
      <c r="Q62" s="5"/>
      <c r="R62" s="5"/>
      <c r="S62" s="99"/>
    </row>
    <row r="63" spans="1:19" s="27" customFormat="1" ht="16.5" customHeight="1">
      <c r="A63" s="83"/>
      <c r="B63" s="89"/>
      <c r="C63" s="29"/>
      <c r="D63" s="5"/>
      <c r="E63" s="135"/>
      <c r="F63" s="134"/>
      <c r="G63" s="5"/>
      <c r="H63" s="47"/>
      <c r="I63" s="5"/>
      <c r="J63" s="5"/>
      <c r="K63" s="47"/>
      <c r="L63" s="5"/>
      <c r="M63" s="45"/>
      <c r="N63" s="5"/>
      <c r="O63" s="45"/>
      <c r="P63" s="45"/>
      <c r="Q63" s="5"/>
      <c r="R63" s="5"/>
      <c r="S63" s="99"/>
    </row>
    <row r="64" spans="1:19" s="27" customFormat="1" ht="16.5" customHeight="1">
      <c r="A64" s="83"/>
      <c r="B64" s="89"/>
      <c r="C64" s="29"/>
      <c r="D64" s="5"/>
      <c r="E64" s="135"/>
      <c r="F64" s="134"/>
      <c r="G64" s="5"/>
      <c r="H64" s="47"/>
      <c r="I64" s="5"/>
      <c r="J64" s="5"/>
      <c r="K64" s="47"/>
      <c r="L64" s="5"/>
      <c r="M64" s="45"/>
      <c r="N64" s="5"/>
      <c r="O64" s="45"/>
      <c r="P64" s="45"/>
      <c r="Q64" s="5"/>
      <c r="R64" s="5"/>
      <c r="S64" s="99"/>
    </row>
    <row r="65" spans="1:19" s="27" customFormat="1" ht="16.5" customHeight="1">
      <c r="A65" s="83"/>
      <c r="B65" s="89"/>
      <c r="C65" s="29"/>
      <c r="D65" s="5"/>
      <c r="E65" s="135"/>
      <c r="F65" s="134"/>
      <c r="G65" s="5"/>
      <c r="H65" s="47"/>
      <c r="I65" s="5"/>
      <c r="J65" s="5"/>
      <c r="K65" s="47"/>
      <c r="L65" s="5"/>
      <c r="M65" s="45"/>
      <c r="N65" s="5"/>
      <c r="O65" s="45"/>
      <c r="P65" s="45"/>
      <c r="Q65" s="5"/>
      <c r="R65" s="5"/>
      <c r="S65" s="99"/>
    </row>
    <row r="66" spans="1:19" s="27" customFormat="1" ht="16.5" customHeight="1">
      <c r="A66" s="83"/>
      <c r="B66" s="89"/>
      <c r="C66" s="29"/>
      <c r="D66" s="5"/>
      <c r="E66" s="135"/>
      <c r="F66" s="134"/>
      <c r="G66" s="5"/>
      <c r="H66" s="47"/>
      <c r="I66" s="5"/>
      <c r="J66" s="5"/>
      <c r="K66" s="47"/>
      <c r="L66" s="5"/>
      <c r="M66" s="45"/>
      <c r="N66" s="5"/>
      <c r="O66" s="45"/>
      <c r="P66" s="45"/>
      <c r="Q66" s="5"/>
      <c r="R66" s="5"/>
      <c r="S66" s="99"/>
    </row>
    <row r="67" spans="1:19" s="27" customFormat="1" ht="16.5" customHeight="1">
      <c r="A67" s="83"/>
      <c r="B67" s="89"/>
      <c r="C67" s="29"/>
      <c r="D67" s="5"/>
      <c r="E67" s="135"/>
      <c r="F67" s="134"/>
      <c r="G67" s="5"/>
      <c r="H67" s="47"/>
      <c r="I67" s="5"/>
      <c r="J67" s="5"/>
      <c r="K67" s="47"/>
      <c r="L67" s="5"/>
      <c r="M67" s="45"/>
      <c r="N67" s="5"/>
      <c r="O67" s="45"/>
      <c r="P67" s="45"/>
      <c r="Q67" s="5"/>
      <c r="R67" s="5"/>
      <c r="S67" s="99"/>
    </row>
    <row r="68" spans="1:19" s="27" customFormat="1" ht="16.5" customHeight="1">
      <c r="A68" s="83"/>
      <c r="B68" s="89"/>
      <c r="C68" s="29"/>
      <c r="D68" s="5"/>
      <c r="E68" s="135"/>
      <c r="F68" s="134"/>
      <c r="G68" s="5"/>
      <c r="H68" s="47"/>
      <c r="I68" s="5"/>
      <c r="J68" s="5"/>
      <c r="K68" s="47"/>
      <c r="L68" s="5"/>
      <c r="M68" s="45"/>
      <c r="N68" s="5"/>
      <c r="O68" s="45"/>
      <c r="P68" s="45"/>
      <c r="Q68" s="5"/>
      <c r="R68" s="5"/>
      <c r="S68" s="99"/>
    </row>
    <row r="69" spans="1:19" s="27" customFormat="1" ht="16.5" customHeight="1">
      <c r="A69" s="83"/>
      <c r="B69" s="89"/>
      <c r="C69" s="29"/>
      <c r="D69" s="5"/>
      <c r="E69" s="135"/>
      <c r="F69" s="136"/>
      <c r="G69" s="5"/>
      <c r="H69" s="47"/>
      <c r="I69" s="5"/>
      <c r="J69" s="5"/>
      <c r="K69" s="47"/>
      <c r="L69" s="5"/>
      <c r="M69" s="45"/>
      <c r="N69" s="5"/>
      <c r="O69" s="45"/>
      <c r="P69" s="45"/>
      <c r="Q69" s="5"/>
      <c r="R69" s="5"/>
      <c r="S69" s="99"/>
    </row>
    <row r="70" spans="1:19" s="27" customFormat="1" ht="16.5" customHeight="1">
      <c r="A70" s="83"/>
      <c r="B70" s="89"/>
      <c r="C70" s="29"/>
      <c r="D70" s="5"/>
      <c r="E70" s="5"/>
      <c r="F70" s="47"/>
      <c r="G70" s="5"/>
      <c r="H70" s="47"/>
      <c r="I70" s="5"/>
      <c r="J70" s="5"/>
      <c r="K70" s="47"/>
      <c r="L70" s="5"/>
      <c r="M70" s="45"/>
      <c r="N70" s="5"/>
      <c r="O70" s="45"/>
      <c r="P70" s="45"/>
      <c r="Q70" s="5"/>
      <c r="R70" s="5"/>
      <c r="S70" s="99"/>
    </row>
    <row r="71" spans="1:19" s="27" customFormat="1" ht="16.5" customHeight="1">
      <c r="A71" s="83"/>
      <c r="B71" s="89"/>
      <c r="C71" s="29"/>
      <c r="D71" s="5"/>
      <c r="E71" s="5"/>
      <c r="F71" s="47"/>
      <c r="G71" s="5"/>
      <c r="H71" s="47"/>
      <c r="I71" s="5"/>
      <c r="J71" s="5"/>
      <c r="K71" s="47"/>
      <c r="L71" s="5"/>
      <c r="M71" s="45"/>
      <c r="N71" s="5"/>
      <c r="O71" s="45"/>
      <c r="P71" s="45"/>
      <c r="Q71" s="5"/>
      <c r="R71" s="5"/>
      <c r="S71" s="99"/>
    </row>
    <row r="72" spans="1:19" s="27" customFormat="1" ht="16.5" customHeight="1">
      <c r="A72" s="83"/>
      <c r="B72" s="89"/>
      <c r="C72" s="29"/>
      <c r="D72" s="5"/>
      <c r="E72" s="5"/>
      <c r="F72" s="47"/>
      <c r="G72" s="5"/>
      <c r="H72" s="47"/>
      <c r="I72" s="5"/>
      <c r="J72" s="5"/>
      <c r="K72" s="47"/>
      <c r="L72" s="5"/>
      <c r="M72" s="45"/>
      <c r="N72" s="5"/>
      <c r="O72" s="45"/>
      <c r="P72" s="45"/>
      <c r="Q72" s="5"/>
      <c r="R72" s="5"/>
      <c r="S72" s="99"/>
    </row>
    <row r="73" spans="1:19" s="27" customFormat="1" ht="16.5" customHeight="1">
      <c r="A73" s="83"/>
      <c r="B73" s="89"/>
      <c r="C73" s="29"/>
      <c r="D73" s="5"/>
      <c r="E73" s="5"/>
      <c r="F73" s="47"/>
      <c r="G73" s="5"/>
      <c r="H73" s="47"/>
      <c r="I73" s="5"/>
      <c r="J73" s="5"/>
      <c r="K73" s="47"/>
      <c r="L73" s="5"/>
      <c r="M73" s="45"/>
      <c r="N73" s="5"/>
      <c r="O73" s="45"/>
      <c r="P73" s="45"/>
      <c r="Q73" s="5"/>
      <c r="R73" s="5"/>
      <c r="S73" s="99"/>
    </row>
    <row r="74" spans="1:19" s="27" customFormat="1" ht="16.5" customHeight="1">
      <c r="A74" s="83"/>
      <c r="B74" s="89"/>
      <c r="C74" s="29"/>
      <c r="D74" s="5"/>
      <c r="E74" s="5"/>
      <c r="F74" s="47"/>
      <c r="G74" s="5"/>
      <c r="H74" s="47"/>
      <c r="I74" s="5"/>
      <c r="J74" s="5"/>
      <c r="K74" s="47"/>
      <c r="L74" s="5"/>
      <c r="M74" s="45"/>
      <c r="N74" s="5"/>
      <c r="O74" s="45"/>
      <c r="P74" s="45"/>
      <c r="Q74" s="5"/>
      <c r="R74" s="5"/>
      <c r="S74" s="99"/>
    </row>
    <row r="75" spans="1:19" s="27" customFormat="1" ht="16.5" customHeight="1">
      <c r="A75" s="83"/>
      <c r="B75" s="89"/>
      <c r="C75" s="29"/>
      <c r="D75" s="5"/>
      <c r="E75" s="5"/>
      <c r="F75" s="47"/>
      <c r="G75" s="5"/>
      <c r="H75" s="47"/>
      <c r="I75" s="5"/>
      <c r="J75" s="5"/>
      <c r="K75" s="47"/>
      <c r="L75" s="5"/>
      <c r="M75" s="45"/>
      <c r="N75" s="5"/>
      <c r="O75" s="45"/>
      <c r="P75" s="45"/>
      <c r="Q75" s="5"/>
      <c r="R75" s="5"/>
      <c r="S75" s="99"/>
    </row>
    <row r="76" spans="1:19" s="27" customFormat="1" ht="16.5" customHeight="1">
      <c r="A76" s="83"/>
      <c r="B76" s="89"/>
      <c r="C76" s="29"/>
      <c r="D76" s="5"/>
      <c r="E76" s="5"/>
      <c r="F76" s="47"/>
      <c r="G76" s="5"/>
      <c r="H76" s="47"/>
      <c r="I76" s="5"/>
      <c r="J76" s="5"/>
      <c r="K76" s="47"/>
      <c r="L76" s="5"/>
      <c r="M76" s="45"/>
      <c r="N76" s="5"/>
      <c r="O76" s="45"/>
      <c r="P76" s="45"/>
      <c r="Q76" s="5"/>
      <c r="R76" s="5"/>
      <c r="S76" s="99"/>
    </row>
    <row r="87" spans="2:19">
      <c r="B87" s="82"/>
    </row>
    <row r="93" spans="2:19" hidden="1">
      <c r="B93" s="103">
        <f>EOMONTH(Instructions!$D$14,0)</f>
        <v>41851</v>
      </c>
      <c r="S93" s="30"/>
    </row>
    <row r="94" spans="2:19" hidden="1">
      <c r="B94" s="103">
        <f t="shared" ref="B94:B104" si="48">EOMONTH(B93,1)</f>
        <v>41882</v>
      </c>
      <c r="S94" s="30"/>
    </row>
    <row r="95" spans="2:19" hidden="1">
      <c r="B95" s="103">
        <f t="shared" si="48"/>
        <v>41912</v>
      </c>
      <c r="S95" s="30"/>
    </row>
    <row r="96" spans="2:19" hidden="1">
      <c r="B96" s="103">
        <f t="shared" si="48"/>
        <v>41943</v>
      </c>
      <c r="S96" s="30"/>
    </row>
    <row r="97" spans="2:19" hidden="1">
      <c r="B97" s="103">
        <f>EOMONTH(B96,1)</f>
        <v>41973</v>
      </c>
      <c r="S97" s="30"/>
    </row>
    <row r="98" spans="2:19" hidden="1">
      <c r="B98" s="103">
        <f t="shared" si="48"/>
        <v>42004</v>
      </c>
      <c r="S98" s="30"/>
    </row>
    <row r="99" spans="2:19" hidden="1">
      <c r="B99" s="103">
        <f>EOMONTH(B98,1)</f>
        <v>42035</v>
      </c>
      <c r="S99" s="30"/>
    </row>
    <row r="100" spans="2:19" hidden="1">
      <c r="B100" s="103">
        <f t="shared" si="48"/>
        <v>42063</v>
      </c>
      <c r="S100" s="30"/>
    </row>
    <row r="101" spans="2:19" hidden="1">
      <c r="B101" s="103">
        <f t="shared" si="48"/>
        <v>42094</v>
      </c>
      <c r="S101" s="30"/>
    </row>
    <row r="102" spans="2:19" hidden="1">
      <c r="B102" s="103">
        <f t="shared" si="48"/>
        <v>42124</v>
      </c>
      <c r="S102" s="30"/>
    </row>
    <row r="103" spans="2:19" hidden="1">
      <c r="B103" s="103">
        <f t="shared" si="48"/>
        <v>42155</v>
      </c>
      <c r="S103" s="30"/>
    </row>
    <row r="104" spans="2:19" hidden="1">
      <c r="B104" s="103">
        <f t="shared" si="48"/>
        <v>42185</v>
      </c>
      <c r="S104" s="30"/>
    </row>
    <row r="105" spans="2:19" hidden="1"/>
  </sheetData>
  <phoneticPr fontId="0" type="noConversion"/>
  <printOptions horizontalCentered="1"/>
  <pageMargins left="0.39370078740157483" right="0.39370078740157483" top="0.39370078740157483" bottom="0.39370078740157483" header="0.19685039370078741" footer="0"/>
  <pageSetup paperSize="9" scale="75" fitToHeight="8" orientation="landscape" r:id="rId1"/>
  <headerFooter alignWithMargins="0"/>
  <rowBreaks count="1" manualBreakCount="1">
    <brk id="2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Q420"/>
  <sheetViews>
    <sheetView zoomScale="115" zoomScaleNormal="115" workbookViewId="0">
      <pane xSplit="1" ySplit="4" topLeftCell="B174" activePane="bottomRight" state="frozen"/>
      <selection activeCell="F54" sqref="F54"/>
      <selection pane="topRight" activeCell="F54" sqref="F54"/>
      <selection pane="bottomLeft" activeCell="F54" sqref="F54"/>
      <selection pane="bottomRight" activeCell="F185" sqref="F185"/>
    </sheetView>
  </sheetViews>
  <sheetFormatPr defaultRowHeight="15" customHeight="1"/>
  <cols>
    <col min="1" max="1" width="35.5703125" customWidth="1"/>
    <col min="2" max="2" width="4" customWidth="1"/>
    <col min="3" max="3" width="4.5703125" style="81" hidden="1" customWidth="1"/>
    <col min="4" max="15" width="10.7109375" customWidth="1"/>
  </cols>
  <sheetData>
    <row r="1" spans="1:17" ht="15" customHeight="1">
      <c r="A1" s="74" t="str">
        <f>'Financial Report '!B3</f>
        <v>Financial Summary for This Month : Example Sporting Organisation</v>
      </c>
      <c r="B1" s="74"/>
      <c r="H1" s="73"/>
      <c r="K1" s="120" t="s">
        <v>62</v>
      </c>
      <c r="L1" s="169"/>
    </row>
    <row r="2" spans="1:17" ht="15" customHeight="1">
      <c r="A2" s="74"/>
      <c r="B2" s="74"/>
    </row>
    <row r="3" spans="1:17" ht="12.75" hidden="1">
      <c r="D3" s="91" t="str">
        <f>IF(D4&lt;='Financial Report '!$F$5,"include","")</f>
        <v>include</v>
      </c>
      <c r="E3" s="91" t="str">
        <f>IF(E4&lt;='Financial Report '!$F$5,"include","")</f>
        <v>include</v>
      </c>
      <c r="F3" s="91" t="str">
        <f>IF(F4&lt;='Financial Report '!$F$5,"include","")</f>
        <v/>
      </c>
      <c r="G3" s="91" t="str">
        <f>IF(G4&lt;='Financial Report '!$F$5,"include","")</f>
        <v/>
      </c>
      <c r="H3" s="91" t="str">
        <f>IF(H4&lt;='Financial Report '!$F$5,"include","")</f>
        <v/>
      </c>
      <c r="I3" s="91" t="str">
        <f>IF(I4&lt;='Financial Report '!$F$5,"include","")</f>
        <v/>
      </c>
      <c r="J3" s="91" t="str">
        <f>IF(J4&lt;='Financial Report '!$F$5,"include","")</f>
        <v/>
      </c>
      <c r="K3" s="91" t="str">
        <f>IF(K4&lt;='Financial Report '!$F$5,"include","")</f>
        <v/>
      </c>
      <c r="L3" s="91" t="str">
        <f>IF(L4&lt;='Financial Report '!$F$5,"include","")</f>
        <v/>
      </c>
      <c r="M3" s="91" t="str">
        <f>IF(M4&lt;='Financial Report '!$F$5,"include","")</f>
        <v/>
      </c>
      <c r="N3" s="91" t="str">
        <f>IF(N4&lt;='Financial Report '!$F$5,"include","")</f>
        <v/>
      </c>
      <c r="O3" s="91" t="str">
        <f>IF(O4&lt;='Financial Report '!$F$5,"include","")</f>
        <v/>
      </c>
    </row>
    <row r="4" spans="1:17" ht="15" customHeight="1">
      <c r="B4" s="73"/>
      <c r="C4" s="81">
        <v>1</v>
      </c>
      <c r="D4" s="75">
        <f>EOMONTH(Instructions!$D$14,0)</f>
        <v>41851</v>
      </c>
      <c r="E4" s="75">
        <f t="shared" ref="E4:O4" si="0">EOMONTH(D4,1)</f>
        <v>41882</v>
      </c>
      <c r="F4" s="75">
        <f t="shared" si="0"/>
        <v>41912</v>
      </c>
      <c r="G4" s="75">
        <f t="shared" si="0"/>
        <v>41943</v>
      </c>
      <c r="H4" s="75">
        <f t="shared" si="0"/>
        <v>41973</v>
      </c>
      <c r="I4" s="75">
        <f t="shared" si="0"/>
        <v>42004</v>
      </c>
      <c r="J4" s="75">
        <f t="shared" si="0"/>
        <v>42035</v>
      </c>
      <c r="K4" s="75">
        <f t="shared" si="0"/>
        <v>42063</v>
      </c>
      <c r="L4" s="75">
        <f t="shared" si="0"/>
        <v>42094</v>
      </c>
      <c r="M4" s="75">
        <f t="shared" si="0"/>
        <v>42124</v>
      </c>
      <c r="N4" s="75">
        <f t="shared" si="0"/>
        <v>42155</v>
      </c>
      <c r="O4" s="75">
        <f t="shared" si="0"/>
        <v>42185</v>
      </c>
      <c r="Q4" s="120" t="s">
        <v>3</v>
      </c>
    </row>
    <row r="5" spans="1:17" ht="15" customHeight="1">
      <c r="A5" s="73" t="s">
        <v>30</v>
      </c>
      <c r="B5" s="73"/>
      <c r="C5" s="81">
        <v>2</v>
      </c>
      <c r="D5" s="75"/>
      <c r="E5" s="75"/>
      <c r="F5" s="75"/>
      <c r="G5" s="75"/>
      <c r="H5" s="75"/>
      <c r="I5" s="75"/>
      <c r="J5" s="75"/>
      <c r="K5" s="75"/>
      <c r="L5" s="75"/>
      <c r="M5" s="75"/>
      <c r="N5" s="75"/>
      <c r="O5" s="75"/>
    </row>
    <row r="6" spans="1:17" ht="15" customHeight="1">
      <c r="A6" s="73"/>
      <c r="B6" s="73"/>
      <c r="C6" s="81">
        <v>3</v>
      </c>
      <c r="D6" s="75"/>
      <c r="E6" s="75"/>
      <c r="F6" s="75"/>
      <c r="G6" s="75"/>
      <c r="H6" s="75"/>
      <c r="I6" s="75"/>
      <c r="J6" s="75"/>
      <c r="K6" s="75"/>
      <c r="L6" s="75"/>
      <c r="M6" s="75"/>
      <c r="N6" s="75"/>
      <c r="O6" s="75"/>
    </row>
    <row r="7" spans="1:17" ht="15" customHeight="1">
      <c r="A7" s="73" t="s">
        <v>102</v>
      </c>
      <c r="C7" s="81">
        <v>4</v>
      </c>
      <c r="D7" s="91"/>
      <c r="E7" s="91"/>
      <c r="F7" s="91"/>
      <c r="G7" s="91"/>
      <c r="H7" s="91"/>
      <c r="I7" s="91"/>
      <c r="J7" s="91"/>
      <c r="K7" s="91"/>
      <c r="L7" s="91"/>
      <c r="M7" s="91"/>
      <c r="N7" s="91"/>
      <c r="O7" s="91"/>
    </row>
    <row r="8" spans="1:17" ht="15" customHeight="1">
      <c r="A8" s="76" t="s">
        <v>52</v>
      </c>
      <c r="C8" s="81">
        <v>5</v>
      </c>
      <c r="D8" s="76">
        <v>115</v>
      </c>
      <c r="E8" s="76">
        <v>100</v>
      </c>
      <c r="F8" s="76">
        <v>95</v>
      </c>
      <c r="G8" s="76">
        <v>109</v>
      </c>
      <c r="H8" s="76">
        <v>100</v>
      </c>
      <c r="I8" s="76"/>
      <c r="J8" s="76"/>
      <c r="K8" s="76"/>
      <c r="L8" s="76"/>
      <c r="M8" s="76"/>
      <c r="N8" s="76"/>
      <c r="O8" s="76"/>
      <c r="Q8" s="77">
        <f>SUM(D8:O8)</f>
        <v>519</v>
      </c>
    </row>
    <row r="9" spans="1:17" ht="15" customHeight="1">
      <c r="A9" s="76" t="s">
        <v>74</v>
      </c>
      <c r="C9" s="81">
        <v>6</v>
      </c>
      <c r="D9" s="76">
        <v>50</v>
      </c>
      <c r="E9" s="76">
        <v>80</v>
      </c>
      <c r="F9" s="76">
        <v>120</v>
      </c>
      <c r="G9" s="76">
        <v>75</v>
      </c>
      <c r="H9" s="76">
        <v>150</v>
      </c>
      <c r="I9" s="76"/>
      <c r="J9" s="76"/>
      <c r="K9" s="76"/>
      <c r="L9" s="76"/>
      <c r="M9" s="76"/>
      <c r="N9" s="76"/>
      <c r="O9" s="76"/>
      <c r="Q9" s="77">
        <f t="shared" ref="Q9:Q21" si="1">SUM(D9:O9)</f>
        <v>475</v>
      </c>
    </row>
    <row r="10" spans="1:17" ht="15" customHeight="1">
      <c r="A10" s="76" t="s">
        <v>54</v>
      </c>
      <c r="C10" s="81">
        <v>7</v>
      </c>
      <c r="D10" s="76">
        <v>150</v>
      </c>
      <c r="E10" s="76">
        <v>75</v>
      </c>
      <c r="F10" s="76">
        <v>60</v>
      </c>
      <c r="G10" s="76">
        <v>110</v>
      </c>
      <c r="H10" s="76">
        <v>100</v>
      </c>
      <c r="I10" s="76"/>
      <c r="J10" s="76"/>
      <c r="K10" s="76"/>
      <c r="L10" s="76"/>
      <c r="M10" s="76"/>
      <c r="N10" s="76"/>
      <c r="O10" s="76"/>
      <c r="Q10" s="77">
        <f t="shared" si="1"/>
        <v>495</v>
      </c>
    </row>
    <row r="11" spans="1:17" ht="15" customHeight="1">
      <c r="A11" s="76" t="s">
        <v>136</v>
      </c>
      <c r="C11" s="81">
        <v>8</v>
      </c>
      <c r="D11" s="76">
        <v>500</v>
      </c>
      <c r="E11" s="76">
        <v>800</v>
      </c>
      <c r="F11" s="76">
        <v>1200</v>
      </c>
      <c r="G11" s="76">
        <v>750</v>
      </c>
      <c r="H11" s="76">
        <v>1100</v>
      </c>
      <c r="I11" s="76"/>
      <c r="J11" s="76"/>
      <c r="K11" s="76"/>
      <c r="L11" s="76"/>
      <c r="M11" s="76"/>
      <c r="N11" s="76"/>
      <c r="O11" s="76"/>
      <c r="Q11" s="77">
        <f t="shared" si="1"/>
        <v>4350</v>
      </c>
    </row>
    <row r="12" spans="1:17" ht="15" customHeight="1">
      <c r="A12" s="76" t="s">
        <v>137</v>
      </c>
      <c r="C12" s="81">
        <v>9</v>
      </c>
      <c r="D12" s="76">
        <v>150</v>
      </c>
      <c r="E12" s="76">
        <v>75</v>
      </c>
      <c r="F12" s="76">
        <v>60</v>
      </c>
      <c r="G12" s="76">
        <v>110</v>
      </c>
      <c r="H12" s="76">
        <v>100</v>
      </c>
      <c r="I12" s="76"/>
      <c r="J12" s="76"/>
      <c r="K12" s="76"/>
      <c r="L12" s="76"/>
      <c r="M12" s="76"/>
      <c r="N12" s="76"/>
      <c r="O12" s="76"/>
      <c r="Q12" s="77">
        <f t="shared" si="1"/>
        <v>495</v>
      </c>
    </row>
    <row r="13" spans="1:17" ht="15" customHeight="1">
      <c r="A13" s="76" t="s">
        <v>138</v>
      </c>
      <c r="C13" s="81">
        <v>10</v>
      </c>
      <c r="D13" s="76">
        <v>50</v>
      </c>
      <c r="E13" s="76">
        <v>80</v>
      </c>
      <c r="F13" s="76">
        <v>120</v>
      </c>
      <c r="G13" s="76">
        <v>75</v>
      </c>
      <c r="H13" s="76">
        <v>150</v>
      </c>
      <c r="I13" s="76"/>
      <c r="J13" s="76"/>
      <c r="K13" s="76"/>
      <c r="L13" s="76"/>
      <c r="M13" s="76"/>
      <c r="N13" s="76"/>
      <c r="O13" s="76"/>
      <c r="Q13" s="77">
        <f t="shared" si="1"/>
        <v>475</v>
      </c>
    </row>
    <row r="14" spans="1:17" ht="15" customHeight="1">
      <c r="A14" s="76" t="s">
        <v>77</v>
      </c>
      <c r="C14" s="81">
        <v>11</v>
      </c>
      <c r="D14" s="76">
        <v>150</v>
      </c>
      <c r="E14" s="76">
        <v>75</v>
      </c>
      <c r="F14" s="76">
        <v>60</v>
      </c>
      <c r="G14" s="76">
        <v>110</v>
      </c>
      <c r="H14" s="76">
        <v>100</v>
      </c>
      <c r="I14" s="76"/>
      <c r="J14" s="76"/>
      <c r="K14" s="76"/>
      <c r="L14" s="76"/>
      <c r="M14" s="76"/>
      <c r="N14" s="76"/>
      <c r="O14" s="76"/>
      <c r="Q14" s="77">
        <f t="shared" si="1"/>
        <v>495</v>
      </c>
    </row>
    <row r="15" spans="1:17" ht="15" customHeight="1">
      <c r="A15" s="76" t="s">
        <v>77</v>
      </c>
      <c r="C15" s="81">
        <v>12</v>
      </c>
      <c r="D15" s="76">
        <v>10</v>
      </c>
      <c r="E15" s="76">
        <v>10</v>
      </c>
      <c r="F15" s="76">
        <v>10</v>
      </c>
      <c r="G15" s="76">
        <v>10</v>
      </c>
      <c r="H15" s="76">
        <v>10</v>
      </c>
      <c r="I15" s="76"/>
      <c r="J15" s="76"/>
      <c r="K15" s="76"/>
      <c r="L15" s="76"/>
      <c r="M15" s="76"/>
      <c r="N15" s="76"/>
      <c r="O15" s="76"/>
      <c r="Q15" s="77">
        <f t="shared" si="1"/>
        <v>50</v>
      </c>
    </row>
    <row r="16" spans="1:17" ht="15" customHeight="1">
      <c r="A16" s="76" t="s">
        <v>77</v>
      </c>
      <c r="C16" s="81">
        <v>13</v>
      </c>
      <c r="D16" s="76">
        <v>0</v>
      </c>
      <c r="E16" s="76">
        <v>0</v>
      </c>
      <c r="F16" s="76">
        <v>0</v>
      </c>
      <c r="G16" s="76">
        <v>0</v>
      </c>
      <c r="H16" s="76">
        <v>0</v>
      </c>
      <c r="I16" s="76"/>
      <c r="J16" s="76"/>
      <c r="K16" s="76"/>
      <c r="L16" s="76"/>
      <c r="M16" s="76"/>
      <c r="N16" s="76"/>
      <c r="O16" s="76"/>
      <c r="Q16" s="77">
        <f t="shared" si="1"/>
        <v>0</v>
      </c>
    </row>
    <row r="17" spans="1:17" ht="15" customHeight="1">
      <c r="A17" s="76" t="s">
        <v>77</v>
      </c>
      <c r="C17" s="81">
        <v>14</v>
      </c>
      <c r="D17" s="76">
        <v>0</v>
      </c>
      <c r="E17" s="76">
        <v>0</v>
      </c>
      <c r="F17" s="76">
        <v>0</v>
      </c>
      <c r="G17" s="76">
        <v>0</v>
      </c>
      <c r="H17" s="76">
        <v>0</v>
      </c>
      <c r="I17" s="76"/>
      <c r="J17" s="76"/>
      <c r="K17" s="76"/>
      <c r="L17" s="76"/>
      <c r="M17" s="76"/>
      <c r="N17" s="76"/>
      <c r="O17" s="76"/>
      <c r="Q17" s="77">
        <f t="shared" si="1"/>
        <v>0</v>
      </c>
    </row>
    <row r="18" spans="1:17" ht="15" customHeight="1">
      <c r="A18" s="76" t="s">
        <v>77</v>
      </c>
      <c r="C18" s="81">
        <v>15</v>
      </c>
      <c r="D18" s="76">
        <v>0</v>
      </c>
      <c r="E18" s="76">
        <v>0</v>
      </c>
      <c r="F18" s="76">
        <v>0</v>
      </c>
      <c r="G18" s="76">
        <v>0</v>
      </c>
      <c r="H18" s="76">
        <v>0</v>
      </c>
      <c r="I18" s="76"/>
      <c r="J18" s="76"/>
      <c r="K18" s="76"/>
      <c r="L18" s="76"/>
      <c r="M18" s="76"/>
      <c r="N18" s="76"/>
      <c r="O18" s="76"/>
      <c r="Q18" s="77">
        <f t="shared" si="1"/>
        <v>0</v>
      </c>
    </row>
    <row r="19" spans="1:17" ht="15" customHeight="1">
      <c r="A19" s="76" t="s">
        <v>77</v>
      </c>
      <c r="C19" s="81">
        <v>16</v>
      </c>
      <c r="D19" s="76">
        <v>0</v>
      </c>
      <c r="E19" s="76">
        <v>0</v>
      </c>
      <c r="F19" s="76">
        <v>0</v>
      </c>
      <c r="G19" s="76">
        <v>0</v>
      </c>
      <c r="H19" s="76">
        <v>0</v>
      </c>
      <c r="I19" s="76"/>
      <c r="J19" s="76"/>
      <c r="K19" s="76"/>
      <c r="L19" s="76"/>
      <c r="M19" s="76"/>
      <c r="N19" s="76"/>
      <c r="O19" s="76"/>
      <c r="Q19" s="77">
        <f t="shared" si="1"/>
        <v>0</v>
      </c>
    </row>
    <row r="20" spans="1:17" ht="15" customHeight="1">
      <c r="A20" s="76" t="s">
        <v>77</v>
      </c>
      <c r="C20" s="81">
        <v>17</v>
      </c>
      <c r="D20" s="76">
        <v>0</v>
      </c>
      <c r="E20" s="76">
        <v>0</v>
      </c>
      <c r="F20" s="76">
        <v>0</v>
      </c>
      <c r="G20" s="76">
        <v>0</v>
      </c>
      <c r="H20" s="76">
        <v>0</v>
      </c>
      <c r="I20" s="76"/>
      <c r="J20" s="76"/>
      <c r="K20" s="76"/>
      <c r="L20" s="76"/>
      <c r="M20" s="76"/>
      <c r="N20" s="76"/>
      <c r="O20" s="76"/>
      <c r="Q20" s="77">
        <f t="shared" si="1"/>
        <v>0</v>
      </c>
    </row>
    <row r="21" spans="1:17" ht="15" customHeight="1">
      <c r="A21" s="76" t="s">
        <v>77</v>
      </c>
      <c r="C21" s="81">
        <v>18</v>
      </c>
      <c r="D21" s="76">
        <v>0</v>
      </c>
      <c r="E21" s="76">
        <v>0</v>
      </c>
      <c r="F21" s="76">
        <v>0</v>
      </c>
      <c r="G21" s="76">
        <v>0</v>
      </c>
      <c r="H21" s="76">
        <v>0</v>
      </c>
      <c r="I21" s="76"/>
      <c r="J21" s="76"/>
      <c r="K21" s="76"/>
      <c r="L21" s="76"/>
      <c r="M21" s="76"/>
      <c r="N21" s="76"/>
      <c r="O21" s="76"/>
      <c r="Q21" s="77">
        <f t="shared" si="1"/>
        <v>0</v>
      </c>
    </row>
    <row r="22" spans="1:17" ht="15" customHeight="1" thickBot="1">
      <c r="A22" s="76" t="s">
        <v>71</v>
      </c>
      <c r="C22" s="81">
        <v>19</v>
      </c>
      <c r="D22" s="78">
        <f>SUM(D8:D21)</f>
        <v>1175</v>
      </c>
      <c r="E22" s="78">
        <f t="shared" ref="E22:Q22" si="2">SUM(E8:E21)</f>
        <v>1295</v>
      </c>
      <c r="F22" s="78">
        <f t="shared" si="2"/>
        <v>1725</v>
      </c>
      <c r="G22" s="78">
        <f t="shared" si="2"/>
        <v>1349</v>
      </c>
      <c r="H22" s="78">
        <f t="shared" si="2"/>
        <v>1810</v>
      </c>
      <c r="I22" s="78">
        <f t="shared" si="2"/>
        <v>0</v>
      </c>
      <c r="J22" s="78">
        <f t="shared" si="2"/>
        <v>0</v>
      </c>
      <c r="K22" s="78">
        <f t="shared" si="2"/>
        <v>0</v>
      </c>
      <c r="L22" s="78">
        <f t="shared" si="2"/>
        <v>0</v>
      </c>
      <c r="M22" s="78">
        <f t="shared" si="2"/>
        <v>0</v>
      </c>
      <c r="N22" s="78">
        <f t="shared" si="2"/>
        <v>0</v>
      </c>
      <c r="O22" s="78">
        <f t="shared" si="2"/>
        <v>0</v>
      </c>
      <c r="Q22" s="78">
        <f t="shared" si="2"/>
        <v>7354</v>
      </c>
    </row>
    <row r="23" spans="1:17" ht="15" hidden="1" customHeight="1">
      <c r="A23" s="255"/>
      <c r="C23" s="81">
        <v>20</v>
      </c>
      <c r="D23" s="155"/>
      <c r="E23" s="155"/>
      <c r="F23" s="155"/>
      <c r="G23" s="155"/>
      <c r="H23" s="155"/>
      <c r="I23" s="155"/>
      <c r="J23" s="155"/>
      <c r="K23" s="155"/>
      <c r="L23" s="155"/>
      <c r="M23" s="155"/>
      <c r="N23" s="155"/>
      <c r="O23" s="155"/>
      <c r="P23" s="145"/>
      <c r="Q23" s="155"/>
    </row>
    <row r="24" spans="1:17" ht="15" hidden="1" customHeight="1">
      <c r="A24" s="255" t="s">
        <v>140</v>
      </c>
      <c r="C24" s="81">
        <v>21</v>
      </c>
      <c r="D24" s="256">
        <f>D10+D12</f>
        <v>300</v>
      </c>
      <c r="E24" s="256">
        <f t="shared" ref="E24:O24" si="3">E10+E12</f>
        <v>150</v>
      </c>
      <c r="F24" s="256">
        <f t="shared" si="3"/>
        <v>120</v>
      </c>
      <c r="G24" s="256">
        <f t="shared" si="3"/>
        <v>220</v>
      </c>
      <c r="H24" s="256">
        <f t="shared" si="3"/>
        <v>200</v>
      </c>
      <c r="I24" s="256">
        <f t="shared" si="3"/>
        <v>0</v>
      </c>
      <c r="J24" s="256">
        <f t="shared" si="3"/>
        <v>0</v>
      </c>
      <c r="K24" s="256">
        <f t="shared" si="3"/>
        <v>0</v>
      </c>
      <c r="L24" s="256">
        <f t="shared" si="3"/>
        <v>0</v>
      </c>
      <c r="M24" s="256">
        <f t="shared" si="3"/>
        <v>0</v>
      </c>
      <c r="N24" s="256">
        <f t="shared" si="3"/>
        <v>0</v>
      </c>
      <c r="O24" s="256">
        <f t="shared" si="3"/>
        <v>0</v>
      </c>
      <c r="P24" s="145"/>
      <c r="Q24" s="155"/>
    </row>
    <row r="25" spans="1:17" ht="15" customHeight="1">
      <c r="C25" s="81">
        <v>22</v>
      </c>
      <c r="D25" s="156"/>
      <c r="E25" s="156"/>
      <c r="F25" s="156"/>
      <c r="G25" s="156"/>
      <c r="H25" s="156"/>
      <c r="I25" s="156"/>
      <c r="J25" s="156"/>
      <c r="K25" s="156"/>
      <c r="L25" s="156"/>
      <c r="M25" s="156"/>
      <c r="N25" s="156"/>
      <c r="O25" s="156"/>
      <c r="P25" s="145"/>
      <c r="Q25" s="145"/>
    </row>
    <row r="26" spans="1:17" s="73" customFormat="1" ht="15" customHeight="1">
      <c r="A26" s="73" t="s">
        <v>101</v>
      </c>
      <c r="C26" s="81">
        <v>23</v>
      </c>
      <c r="D26" s="80"/>
      <c r="E26" s="80"/>
      <c r="F26" s="80"/>
      <c r="G26" s="80"/>
      <c r="H26" s="80"/>
      <c r="I26" s="80"/>
      <c r="J26" s="80"/>
      <c r="K26" s="80"/>
      <c r="L26" s="80"/>
      <c r="M26" s="80"/>
      <c r="N26" s="80"/>
      <c r="O26" s="80"/>
    </row>
    <row r="27" spans="1:17" ht="15" customHeight="1">
      <c r="A27" s="76" t="s">
        <v>78</v>
      </c>
      <c r="B27" s="94"/>
      <c r="C27" s="81">
        <v>24</v>
      </c>
      <c r="D27" s="76">
        <v>200</v>
      </c>
      <c r="E27" s="76">
        <v>150</v>
      </c>
      <c r="F27" s="76">
        <v>175</v>
      </c>
      <c r="G27" s="76">
        <v>220</v>
      </c>
      <c r="H27" s="76">
        <v>190</v>
      </c>
      <c r="I27" s="76"/>
      <c r="J27" s="76"/>
      <c r="K27" s="76"/>
      <c r="L27" s="76"/>
      <c r="M27" s="76"/>
      <c r="N27" s="76"/>
      <c r="O27" s="76"/>
      <c r="Q27" s="77">
        <f>SUM(D27:O27)</f>
        <v>935</v>
      </c>
    </row>
    <row r="28" spans="1:17" ht="15" customHeight="1">
      <c r="A28" s="76" t="s">
        <v>79</v>
      </c>
      <c r="B28" s="94"/>
      <c r="C28" s="81">
        <v>25</v>
      </c>
      <c r="D28" s="76">
        <v>100</v>
      </c>
      <c r="E28" s="76">
        <v>90</v>
      </c>
      <c r="F28" s="76">
        <v>250</v>
      </c>
      <c r="G28" s="76">
        <v>30</v>
      </c>
      <c r="H28" s="76">
        <v>10</v>
      </c>
      <c r="I28" s="76"/>
      <c r="J28" s="76"/>
      <c r="K28" s="76"/>
      <c r="L28" s="76"/>
      <c r="M28" s="76"/>
      <c r="N28" s="76"/>
      <c r="O28" s="76"/>
      <c r="Q28" s="77">
        <f t="shared" ref="Q28:Q47" si="4">SUM(D28:O28)</f>
        <v>480</v>
      </c>
    </row>
    <row r="29" spans="1:17" ht="15" customHeight="1">
      <c r="A29" s="76" t="s">
        <v>80</v>
      </c>
      <c r="B29" s="94"/>
      <c r="C29" s="81">
        <v>26</v>
      </c>
      <c r="D29" s="76">
        <v>3</v>
      </c>
      <c r="E29" s="76">
        <v>3</v>
      </c>
      <c r="F29" s="76">
        <v>3</v>
      </c>
      <c r="G29" s="76">
        <v>3</v>
      </c>
      <c r="H29" s="76">
        <v>3</v>
      </c>
      <c r="I29" s="76"/>
      <c r="J29" s="76"/>
      <c r="K29" s="76"/>
      <c r="L29" s="76"/>
      <c r="M29" s="76"/>
      <c r="N29" s="76"/>
      <c r="O29" s="76"/>
      <c r="Q29" s="77">
        <f t="shared" si="4"/>
        <v>15</v>
      </c>
    </row>
    <row r="30" spans="1:17" ht="15" customHeight="1">
      <c r="A30" s="152" t="s">
        <v>6</v>
      </c>
      <c r="B30" s="94"/>
      <c r="C30" s="81">
        <v>27</v>
      </c>
      <c r="D30" s="76">
        <v>200</v>
      </c>
      <c r="E30" s="76">
        <v>150</v>
      </c>
      <c r="F30" s="76">
        <v>175</v>
      </c>
      <c r="G30" s="76">
        <v>220</v>
      </c>
      <c r="H30" s="76">
        <v>190</v>
      </c>
      <c r="I30" s="76"/>
      <c r="J30" s="76"/>
      <c r="K30" s="76"/>
      <c r="L30" s="76"/>
      <c r="M30" s="76"/>
      <c r="N30" s="76"/>
      <c r="O30" s="76"/>
      <c r="Q30" s="77">
        <f t="shared" si="4"/>
        <v>935</v>
      </c>
    </row>
    <row r="31" spans="1:17" ht="15" customHeight="1">
      <c r="A31" s="76" t="s">
        <v>81</v>
      </c>
      <c r="B31" s="94"/>
      <c r="C31" s="81">
        <v>28</v>
      </c>
      <c r="D31" s="76">
        <v>200</v>
      </c>
      <c r="E31" s="76">
        <v>150</v>
      </c>
      <c r="F31" s="76">
        <v>175</v>
      </c>
      <c r="G31" s="76">
        <v>220</v>
      </c>
      <c r="H31" s="76">
        <v>190</v>
      </c>
      <c r="I31" s="76"/>
      <c r="J31" s="76"/>
      <c r="K31" s="76"/>
      <c r="L31" s="76"/>
      <c r="M31" s="76"/>
      <c r="N31" s="76"/>
      <c r="O31" s="76"/>
      <c r="Q31" s="77">
        <f t="shared" si="4"/>
        <v>935</v>
      </c>
    </row>
    <row r="32" spans="1:17" ht="15" customHeight="1">
      <c r="A32" s="76" t="s">
        <v>82</v>
      </c>
      <c r="B32" s="94"/>
      <c r="C32" s="81">
        <v>29</v>
      </c>
      <c r="D32" s="76">
        <v>200</v>
      </c>
      <c r="E32" s="76">
        <v>150</v>
      </c>
      <c r="F32" s="76">
        <v>175</v>
      </c>
      <c r="G32" s="76">
        <v>220</v>
      </c>
      <c r="H32" s="76">
        <v>2100</v>
      </c>
      <c r="I32" s="76"/>
      <c r="J32" s="76"/>
      <c r="K32" s="76"/>
      <c r="L32" s="76"/>
      <c r="M32" s="76"/>
      <c r="N32" s="76"/>
      <c r="O32" s="76"/>
      <c r="Q32" s="77">
        <f t="shared" si="4"/>
        <v>2845</v>
      </c>
    </row>
    <row r="33" spans="1:17" ht="15" customHeight="1">
      <c r="A33" s="76" t="s">
        <v>83</v>
      </c>
      <c r="B33" s="94"/>
      <c r="C33" s="81">
        <v>30</v>
      </c>
      <c r="D33" s="76">
        <v>100</v>
      </c>
      <c r="E33" s="76">
        <v>90</v>
      </c>
      <c r="F33" s="76">
        <v>250</v>
      </c>
      <c r="G33" s="76">
        <v>30</v>
      </c>
      <c r="H33" s="76">
        <v>10</v>
      </c>
      <c r="I33" s="76"/>
      <c r="J33" s="76"/>
      <c r="K33" s="76"/>
      <c r="L33" s="76"/>
      <c r="M33" s="76"/>
      <c r="N33" s="76"/>
      <c r="O33" s="76"/>
      <c r="Q33" s="77">
        <f t="shared" si="4"/>
        <v>480</v>
      </c>
    </row>
    <row r="34" spans="1:17" ht="15" customHeight="1">
      <c r="A34" s="76" t="s">
        <v>84</v>
      </c>
      <c r="B34" s="94"/>
      <c r="C34" s="81">
        <v>31</v>
      </c>
      <c r="D34" s="76">
        <v>3</v>
      </c>
      <c r="E34" s="76">
        <v>3</v>
      </c>
      <c r="F34" s="76">
        <v>3</v>
      </c>
      <c r="G34" s="76">
        <v>3</v>
      </c>
      <c r="H34" s="76">
        <v>3</v>
      </c>
      <c r="I34" s="76"/>
      <c r="J34" s="76"/>
      <c r="K34" s="76"/>
      <c r="L34" s="76"/>
      <c r="M34" s="76"/>
      <c r="N34" s="76"/>
      <c r="O34" s="76"/>
      <c r="Q34" s="77">
        <f t="shared" si="4"/>
        <v>15</v>
      </c>
    </row>
    <row r="35" spans="1:17" ht="15" customHeight="1">
      <c r="A35" s="76" t="s">
        <v>1</v>
      </c>
      <c r="B35" s="94"/>
      <c r="C35" s="81">
        <v>32</v>
      </c>
      <c r="D35" s="76">
        <v>200</v>
      </c>
      <c r="E35" s="76">
        <v>150</v>
      </c>
      <c r="F35" s="76">
        <v>175</v>
      </c>
      <c r="G35" s="76">
        <v>220</v>
      </c>
      <c r="H35" s="76">
        <v>190</v>
      </c>
      <c r="I35" s="76"/>
      <c r="J35" s="76"/>
      <c r="K35" s="76"/>
      <c r="L35" s="76"/>
      <c r="M35" s="76"/>
      <c r="N35" s="76"/>
      <c r="O35" s="76"/>
      <c r="Q35" s="77">
        <f t="shared" si="4"/>
        <v>935</v>
      </c>
    </row>
    <row r="36" spans="1:17" ht="15" customHeight="1">
      <c r="A36" s="76" t="s">
        <v>1</v>
      </c>
      <c r="B36" s="94"/>
      <c r="C36" s="81">
        <v>33</v>
      </c>
      <c r="D36" s="76">
        <v>100</v>
      </c>
      <c r="E36" s="76">
        <v>90</v>
      </c>
      <c r="F36" s="76">
        <v>250</v>
      </c>
      <c r="G36" s="76">
        <v>30</v>
      </c>
      <c r="H36" s="76">
        <v>10</v>
      </c>
      <c r="I36" s="76"/>
      <c r="J36" s="76"/>
      <c r="K36" s="76"/>
      <c r="L36" s="76"/>
      <c r="M36" s="76"/>
      <c r="N36" s="76"/>
      <c r="O36" s="76"/>
      <c r="Q36" s="77">
        <f t="shared" si="4"/>
        <v>480</v>
      </c>
    </row>
    <row r="37" spans="1:17" ht="15" customHeight="1">
      <c r="A37" s="76" t="s">
        <v>1</v>
      </c>
      <c r="B37" s="94"/>
      <c r="C37" s="81">
        <v>34</v>
      </c>
      <c r="D37" s="76">
        <v>3</v>
      </c>
      <c r="E37" s="76">
        <v>3</v>
      </c>
      <c r="F37" s="76">
        <v>3</v>
      </c>
      <c r="G37" s="76">
        <v>3</v>
      </c>
      <c r="H37" s="76">
        <v>3</v>
      </c>
      <c r="I37" s="76"/>
      <c r="J37" s="76"/>
      <c r="K37" s="76"/>
      <c r="L37" s="76"/>
      <c r="M37" s="76"/>
      <c r="N37" s="76"/>
      <c r="O37" s="76"/>
      <c r="Q37" s="77">
        <f t="shared" si="4"/>
        <v>15</v>
      </c>
    </row>
    <row r="38" spans="1:17" ht="15" customHeight="1">
      <c r="A38" s="76" t="s">
        <v>1</v>
      </c>
      <c r="B38" s="94"/>
      <c r="C38" s="81">
        <v>35</v>
      </c>
      <c r="D38" s="76">
        <v>0</v>
      </c>
      <c r="E38" s="76">
        <v>0</v>
      </c>
      <c r="F38" s="76">
        <v>0</v>
      </c>
      <c r="G38" s="76">
        <v>0</v>
      </c>
      <c r="H38" s="76">
        <v>0</v>
      </c>
      <c r="I38" s="76"/>
      <c r="J38" s="76"/>
      <c r="K38" s="76"/>
      <c r="L38" s="76"/>
      <c r="M38" s="76"/>
      <c r="N38" s="76"/>
      <c r="O38" s="76"/>
      <c r="Q38" s="77">
        <f t="shared" si="4"/>
        <v>0</v>
      </c>
    </row>
    <row r="39" spans="1:17" ht="15" customHeight="1">
      <c r="A39" s="76" t="s">
        <v>1</v>
      </c>
      <c r="B39" s="94"/>
      <c r="C39" s="81">
        <v>36</v>
      </c>
      <c r="D39" s="76">
        <v>0</v>
      </c>
      <c r="E39" s="76">
        <v>0</v>
      </c>
      <c r="F39" s="76">
        <v>0</v>
      </c>
      <c r="G39" s="76">
        <v>0</v>
      </c>
      <c r="H39" s="76">
        <v>0</v>
      </c>
      <c r="I39" s="76"/>
      <c r="J39" s="76"/>
      <c r="K39" s="76"/>
      <c r="L39" s="76"/>
      <c r="M39" s="76"/>
      <c r="N39" s="76"/>
      <c r="O39" s="76"/>
      <c r="Q39" s="77">
        <f t="shared" si="4"/>
        <v>0</v>
      </c>
    </row>
    <row r="40" spans="1:17" ht="15" customHeight="1">
      <c r="A40" s="76" t="s">
        <v>1</v>
      </c>
      <c r="B40" s="94"/>
      <c r="C40" s="81">
        <v>37</v>
      </c>
      <c r="D40" s="76">
        <v>0</v>
      </c>
      <c r="E40" s="76">
        <v>0</v>
      </c>
      <c r="F40" s="76">
        <v>0</v>
      </c>
      <c r="G40" s="76">
        <v>0</v>
      </c>
      <c r="H40" s="76">
        <v>0</v>
      </c>
      <c r="I40" s="76"/>
      <c r="J40" s="76"/>
      <c r="K40" s="76"/>
      <c r="L40" s="76"/>
      <c r="M40" s="76"/>
      <c r="N40" s="76"/>
      <c r="O40" s="76"/>
      <c r="Q40" s="77">
        <f t="shared" si="4"/>
        <v>0</v>
      </c>
    </row>
    <row r="41" spans="1:17" ht="15" customHeight="1">
      <c r="A41" s="76" t="s">
        <v>1</v>
      </c>
      <c r="B41" s="94"/>
      <c r="C41" s="81">
        <v>38</v>
      </c>
      <c r="D41" s="76">
        <v>0</v>
      </c>
      <c r="E41" s="76">
        <v>0</v>
      </c>
      <c r="F41" s="76">
        <v>0</v>
      </c>
      <c r="G41" s="76">
        <v>0</v>
      </c>
      <c r="H41" s="76">
        <v>0</v>
      </c>
      <c r="I41" s="76"/>
      <c r="J41" s="76"/>
      <c r="K41" s="76"/>
      <c r="L41" s="76"/>
      <c r="M41" s="76"/>
      <c r="N41" s="76"/>
      <c r="O41" s="76"/>
      <c r="Q41" s="77"/>
    </row>
    <row r="42" spans="1:17" ht="15" customHeight="1">
      <c r="A42" s="76" t="s">
        <v>1</v>
      </c>
      <c r="B42" s="94"/>
      <c r="C42" s="81">
        <v>39</v>
      </c>
      <c r="D42" s="76">
        <v>0</v>
      </c>
      <c r="E42" s="76">
        <v>0</v>
      </c>
      <c r="F42" s="76">
        <v>0</v>
      </c>
      <c r="G42" s="76">
        <v>0</v>
      </c>
      <c r="H42" s="76">
        <v>0</v>
      </c>
      <c r="I42" s="76"/>
      <c r="J42" s="76"/>
      <c r="K42" s="76"/>
      <c r="L42" s="76"/>
      <c r="M42" s="76"/>
      <c r="N42" s="76"/>
      <c r="O42" s="76"/>
      <c r="Q42" s="77"/>
    </row>
    <row r="43" spans="1:17" ht="15" customHeight="1">
      <c r="A43" s="76" t="s">
        <v>1</v>
      </c>
      <c r="B43" s="94"/>
      <c r="C43" s="81">
        <v>40</v>
      </c>
      <c r="D43" s="76">
        <v>0</v>
      </c>
      <c r="E43" s="76">
        <v>0</v>
      </c>
      <c r="F43" s="76">
        <v>0</v>
      </c>
      <c r="G43" s="76">
        <v>0</v>
      </c>
      <c r="H43" s="76">
        <v>0</v>
      </c>
      <c r="I43" s="76"/>
      <c r="J43" s="76"/>
      <c r="K43" s="76"/>
      <c r="L43" s="76"/>
      <c r="M43" s="76"/>
      <c r="N43" s="76"/>
      <c r="O43" s="76"/>
      <c r="Q43" s="77">
        <f t="shared" si="4"/>
        <v>0</v>
      </c>
    </row>
    <row r="44" spans="1:17" ht="15" customHeight="1">
      <c r="A44" s="76" t="s">
        <v>1</v>
      </c>
      <c r="B44" s="94"/>
      <c r="C44" s="81">
        <v>41</v>
      </c>
      <c r="D44" s="76">
        <v>0</v>
      </c>
      <c r="E44" s="76">
        <v>0</v>
      </c>
      <c r="F44" s="76">
        <v>0</v>
      </c>
      <c r="G44" s="76">
        <v>0</v>
      </c>
      <c r="H44" s="76">
        <v>0</v>
      </c>
      <c r="I44" s="76"/>
      <c r="J44" s="76"/>
      <c r="K44" s="76"/>
      <c r="L44" s="76"/>
      <c r="M44" s="76"/>
      <c r="N44" s="76"/>
      <c r="O44" s="76"/>
      <c r="Q44" s="77">
        <f t="shared" si="4"/>
        <v>0</v>
      </c>
    </row>
    <row r="45" spans="1:17" ht="15" customHeight="1">
      <c r="A45" s="76" t="s">
        <v>1</v>
      </c>
      <c r="B45" s="94"/>
      <c r="C45" s="81">
        <v>42</v>
      </c>
      <c r="D45" s="76">
        <v>0</v>
      </c>
      <c r="E45" s="76">
        <v>0</v>
      </c>
      <c r="F45" s="76">
        <v>0</v>
      </c>
      <c r="G45" s="76">
        <v>0</v>
      </c>
      <c r="H45" s="76">
        <v>0</v>
      </c>
      <c r="I45" s="76"/>
      <c r="J45" s="76"/>
      <c r="K45" s="76"/>
      <c r="L45" s="76"/>
      <c r="M45" s="76"/>
      <c r="N45" s="76"/>
      <c r="O45" s="76"/>
      <c r="Q45" s="77">
        <f t="shared" si="4"/>
        <v>0</v>
      </c>
    </row>
    <row r="46" spans="1:17" ht="15" customHeight="1">
      <c r="A46" s="76" t="s">
        <v>1</v>
      </c>
      <c r="B46" s="94"/>
      <c r="C46" s="81">
        <v>43</v>
      </c>
      <c r="D46" s="76">
        <v>0</v>
      </c>
      <c r="E46" s="76">
        <v>0</v>
      </c>
      <c r="F46" s="76">
        <v>0</v>
      </c>
      <c r="G46" s="76">
        <v>0</v>
      </c>
      <c r="H46" s="76">
        <v>0</v>
      </c>
      <c r="I46" s="76"/>
      <c r="J46" s="76"/>
      <c r="K46" s="76"/>
      <c r="L46" s="76"/>
      <c r="M46" s="76"/>
      <c r="N46" s="76"/>
      <c r="O46" s="76"/>
      <c r="Q46" s="77">
        <f t="shared" si="4"/>
        <v>0</v>
      </c>
    </row>
    <row r="47" spans="1:17" ht="15" customHeight="1">
      <c r="A47" s="76" t="s">
        <v>1</v>
      </c>
      <c r="B47" s="94"/>
      <c r="C47" s="81">
        <v>44</v>
      </c>
      <c r="D47" s="76">
        <v>0</v>
      </c>
      <c r="E47" s="76">
        <v>0</v>
      </c>
      <c r="F47" s="76">
        <v>0</v>
      </c>
      <c r="G47" s="76">
        <v>0</v>
      </c>
      <c r="H47" s="76">
        <v>0</v>
      </c>
      <c r="I47" s="76"/>
      <c r="J47" s="76"/>
      <c r="K47" s="76"/>
      <c r="L47" s="76"/>
      <c r="M47" s="76"/>
      <c r="N47" s="76"/>
      <c r="O47" s="76"/>
      <c r="Q47" s="77">
        <f t="shared" si="4"/>
        <v>0</v>
      </c>
    </row>
    <row r="48" spans="1:17" ht="15" customHeight="1">
      <c r="C48" s="81">
        <v>45</v>
      </c>
      <c r="D48" s="79">
        <f t="shared" ref="D48:O48" si="5">SUM(D26:D47)</f>
        <v>1309</v>
      </c>
      <c r="E48" s="79">
        <f t="shared" si="5"/>
        <v>1029</v>
      </c>
      <c r="F48" s="79">
        <f t="shared" si="5"/>
        <v>1634</v>
      </c>
      <c r="G48" s="79">
        <f t="shared" si="5"/>
        <v>1199</v>
      </c>
      <c r="H48" s="79">
        <f t="shared" si="5"/>
        <v>2899</v>
      </c>
      <c r="I48" s="79">
        <f t="shared" si="5"/>
        <v>0</v>
      </c>
      <c r="J48" s="79">
        <f t="shared" si="5"/>
        <v>0</v>
      </c>
      <c r="K48" s="79">
        <f t="shared" si="5"/>
        <v>0</v>
      </c>
      <c r="L48" s="79">
        <f t="shared" si="5"/>
        <v>0</v>
      </c>
      <c r="M48" s="79">
        <f t="shared" si="5"/>
        <v>0</v>
      </c>
      <c r="N48" s="79">
        <f t="shared" si="5"/>
        <v>0</v>
      </c>
      <c r="O48" s="79">
        <f t="shared" si="5"/>
        <v>0</v>
      </c>
      <c r="Q48" s="79">
        <f>SUM(Q26:Q47)</f>
        <v>8070</v>
      </c>
    </row>
    <row r="49" spans="1:17" ht="15" customHeight="1">
      <c r="C49" s="81">
        <v>46</v>
      </c>
      <c r="D49" s="77"/>
      <c r="E49" s="77"/>
      <c r="F49" s="77"/>
      <c r="G49" s="77"/>
      <c r="H49" s="77"/>
      <c r="I49" s="77"/>
      <c r="J49" s="77"/>
      <c r="K49" s="77"/>
      <c r="L49" s="77"/>
      <c r="M49" s="77"/>
      <c r="N49" s="77"/>
      <c r="O49" s="77"/>
    </row>
    <row r="50" spans="1:17" s="73" customFormat="1" ht="15" customHeight="1" thickBot="1">
      <c r="A50" s="73" t="s">
        <v>230</v>
      </c>
      <c r="C50" s="81">
        <v>47</v>
      </c>
      <c r="D50" s="153">
        <f t="shared" ref="D50:O50" si="6">D22-D48</f>
        <v>-134</v>
      </c>
      <c r="E50" s="153">
        <f t="shared" si="6"/>
        <v>266</v>
      </c>
      <c r="F50" s="153">
        <f t="shared" si="6"/>
        <v>91</v>
      </c>
      <c r="G50" s="153">
        <f t="shared" si="6"/>
        <v>150</v>
      </c>
      <c r="H50" s="153">
        <f t="shared" si="6"/>
        <v>-1089</v>
      </c>
      <c r="I50" s="153">
        <f t="shared" si="6"/>
        <v>0</v>
      </c>
      <c r="J50" s="153">
        <f t="shared" si="6"/>
        <v>0</v>
      </c>
      <c r="K50" s="153">
        <f t="shared" si="6"/>
        <v>0</v>
      </c>
      <c r="L50" s="153">
        <f t="shared" si="6"/>
        <v>0</v>
      </c>
      <c r="M50" s="153">
        <f t="shared" si="6"/>
        <v>0</v>
      </c>
      <c r="N50" s="153">
        <f t="shared" si="6"/>
        <v>0</v>
      </c>
      <c r="O50" s="153">
        <f t="shared" si="6"/>
        <v>0</v>
      </c>
      <c r="P50" s="154"/>
      <c r="Q50" s="153">
        <f>Q22-Q48</f>
        <v>-716</v>
      </c>
    </row>
    <row r="51" spans="1:17" s="73" customFormat="1" ht="15" customHeight="1">
      <c r="C51" s="81">
        <v>48</v>
      </c>
      <c r="D51" s="155"/>
      <c r="E51" s="155"/>
      <c r="F51" s="155"/>
      <c r="G51" s="155"/>
      <c r="H51" s="155"/>
      <c r="I51" s="155"/>
      <c r="J51" s="155"/>
      <c r="K51" s="155"/>
      <c r="L51" s="155"/>
      <c r="M51" s="155"/>
      <c r="N51" s="155"/>
      <c r="O51" s="155"/>
      <c r="P51" s="154"/>
      <c r="Q51" s="155"/>
    </row>
    <row r="52" spans="1:17" ht="15" customHeight="1">
      <c r="A52" s="73" t="s">
        <v>53</v>
      </c>
      <c r="B52" s="73"/>
      <c r="C52" s="81">
        <v>49</v>
      </c>
      <c r="D52" s="75">
        <f>EOMONTH(Instructions!$D$14,0)</f>
        <v>41851</v>
      </c>
      <c r="E52" s="75">
        <f t="shared" ref="E52" si="7">EOMONTH(D52,1)</f>
        <v>41882</v>
      </c>
      <c r="F52" s="75">
        <f t="shared" ref="F52" si="8">EOMONTH(E52,1)</f>
        <v>41912</v>
      </c>
      <c r="G52" s="75">
        <f t="shared" ref="G52" si="9">EOMONTH(F52,1)</f>
        <v>41943</v>
      </c>
      <c r="H52" s="75">
        <f t="shared" ref="H52" si="10">EOMONTH(G52,1)</f>
        <v>41973</v>
      </c>
      <c r="I52" s="75">
        <f t="shared" ref="I52" si="11">EOMONTH(H52,1)</f>
        <v>42004</v>
      </c>
      <c r="J52" s="75">
        <f t="shared" ref="J52" si="12">EOMONTH(I52,1)</f>
        <v>42035</v>
      </c>
      <c r="K52" s="75">
        <f t="shared" ref="K52" si="13">EOMONTH(J52,1)</f>
        <v>42063</v>
      </c>
      <c r="L52" s="75">
        <f t="shared" ref="L52" si="14">EOMONTH(K52,1)</f>
        <v>42094</v>
      </c>
      <c r="M52" s="75">
        <f t="shared" ref="M52" si="15">EOMONTH(L52,1)</f>
        <v>42124</v>
      </c>
      <c r="N52" s="75">
        <f t="shared" ref="N52" si="16">EOMONTH(M52,1)</f>
        <v>42155</v>
      </c>
      <c r="O52" s="75">
        <f t="shared" ref="O52" si="17">EOMONTH(N52,1)</f>
        <v>42185</v>
      </c>
    </row>
    <row r="53" spans="1:17" ht="15" customHeight="1">
      <c r="C53" s="81">
        <v>50</v>
      </c>
      <c r="D53" s="75"/>
      <c r="E53" s="75"/>
      <c r="F53" s="75"/>
      <c r="G53" s="75"/>
      <c r="H53" s="75"/>
      <c r="I53" s="75"/>
      <c r="J53" s="75"/>
      <c r="K53" s="75"/>
      <c r="L53" s="75"/>
      <c r="M53" s="75"/>
      <c r="N53" s="75"/>
      <c r="O53" s="75"/>
    </row>
    <row r="54" spans="1:17" ht="15" customHeight="1">
      <c r="A54" s="73" t="s">
        <v>31</v>
      </c>
      <c r="B54" s="73"/>
      <c r="C54" s="81">
        <v>51</v>
      </c>
      <c r="D54" s="75"/>
      <c r="E54" s="75"/>
      <c r="F54" s="75"/>
      <c r="G54" s="75"/>
      <c r="H54" s="75"/>
      <c r="I54" s="75"/>
      <c r="J54" s="75"/>
      <c r="K54" s="75"/>
      <c r="L54" s="75"/>
      <c r="M54" s="75"/>
      <c r="N54" s="75"/>
      <c r="O54" s="75"/>
    </row>
    <row r="55" spans="1:17" ht="15" customHeight="1">
      <c r="A55" s="94" t="s">
        <v>86</v>
      </c>
      <c r="B55" s="94"/>
      <c r="C55" s="81">
        <v>52</v>
      </c>
      <c r="D55" s="76">
        <v>1130</v>
      </c>
      <c r="E55" s="76">
        <v>1160</v>
      </c>
      <c r="F55" s="76">
        <v>1010</v>
      </c>
      <c r="G55" s="76">
        <v>1180</v>
      </c>
      <c r="H55" s="76">
        <v>1120</v>
      </c>
      <c r="I55" s="76"/>
      <c r="J55" s="76"/>
      <c r="K55" s="76"/>
      <c r="L55" s="76"/>
      <c r="M55" s="76"/>
      <c r="N55" s="76"/>
      <c r="O55" s="76"/>
    </row>
    <row r="56" spans="1:17" ht="15" customHeight="1">
      <c r="A56" s="94" t="s">
        <v>24</v>
      </c>
      <c r="B56" s="94"/>
      <c r="C56" s="81">
        <v>53</v>
      </c>
      <c r="D56" s="76">
        <v>20</v>
      </c>
      <c r="E56" s="76">
        <v>20</v>
      </c>
      <c r="F56" s="76">
        <v>20</v>
      </c>
      <c r="G56" s="76">
        <v>20</v>
      </c>
      <c r="H56" s="76">
        <v>20</v>
      </c>
      <c r="I56" s="76"/>
      <c r="J56" s="76"/>
      <c r="K56" s="76"/>
      <c r="L56" s="76"/>
      <c r="M56" s="76"/>
      <c r="N56" s="76"/>
      <c r="O56" s="76"/>
    </row>
    <row r="57" spans="1:17" ht="15" customHeight="1">
      <c r="A57" s="94" t="s">
        <v>21</v>
      </c>
      <c r="B57" s="94"/>
      <c r="C57" s="81">
        <v>54</v>
      </c>
      <c r="D57" s="76">
        <v>1200</v>
      </c>
      <c r="E57" s="76">
        <f>1250+146</f>
        <v>1396</v>
      </c>
      <c r="F57" s="76">
        <f>1100+345</f>
        <v>1445</v>
      </c>
      <c r="G57" s="76">
        <f>975+522</f>
        <v>1497</v>
      </c>
      <c r="H57" s="76">
        <f>1400-1089+107</f>
        <v>418</v>
      </c>
      <c r="I57" s="76"/>
      <c r="J57" s="76"/>
      <c r="K57" s="76"/>
      <c r="L57" s="76"/>
      <c r="M57" s="76"/>
      <c r="N57" s="76"/>
      <c r="O57" s="76"/>
    </row>
    <row r="58" spans="1:17" ht="15" customHeight="1">
      <c r="A58" s="94" t="s">
        <v>25</v>
      </c>
      <c r="B58" s="94"/>
      <c r="C58" s="81">
        <v>55</v>
      </c>
      <c r="D58" s="76">
        <v>0</v>
      </c>
      <c r="E58" s="76">
        <v>0</v>
      </c>
      <c r="F58" s="76">
        <v>0</v>
      </c>
      <c r="G58" s="76">
        <v>0</v>
      </c>
      <c r="H58" s="76">
        <v>0</v>
      </c>
      <c r="I58" s="76"/>
      <c r="J58" s="76"/>
      <c r="K58" s="76"/>
      <c r="L58" s="76"/>
      <c r="M58" s="76"/>
      <c r="N58" s="76"/>
      <c r="O58" s="76"/>
    </row>
    <row r="59" spans="1:17" ht="15" customHeight="1">
      <c r="A59" s="94" t="s">
        <v>26</v>
      </c>
      <c r="B59" s="94"/>
      <c r="C59" s="81">
        <v>56</v>
      </c>
      <c r="D59" s="254">
        <v>5</v>
      </c>
      <c r="E59" s="254">
        <v>5</v>
      </c>
      <c r="F59" s="254">
        <v>5</v>
      </c>
      <c r="G59" s="254">
        <v>5</v>
      </c>
      <c r="H59" s="254">
        <v>5</v>
      </c>
      <c r="I59" s="254"/>
      <c r="J59" s="254"/>
      <c r="K59" s="254"/>
      <c r="L59" s="254"/>
      <c r="M59" s="254"/>
      <c r="N59" s="254"/>
      <c r="O59" s="254"/>
    </row>
    <row r="60" spans="1:17" ht="15" customHeight="1">
      <c r="A60" s="94" t="s">
        <v>26</v>
      </c>
      <c r="B60" s="94"/>
      <c r="C60" s="81">
        <v>57</v>
      </c>
      <c r="D60" s="254">
        <v>0</v>
      </c>
      <c r="E60" s="254">
        <v>0</v>
      </c>
      <c r="F60" s="254">
        <v>0</v>
      </c>
      <c r="G60" s="254">
        <v>0</v>
      </c>
      <c r="H60" s="254">
        <v>0</v>
      </c>
      <c r="I60" s="254"/>
      <c r="J60" s="254"/>
      <c r="K60" s="254"/>
      <c r="L60" s="254"/>
      <c r="M60" s="254"/>
      <c r="N60" s="254"/>
      <c r="O60" s="254"/>
    </row>
    <row r="61" spans="1:17" ht="15" customHeight="1">
      <c r="A61" s="94" t="s">
        <v>26</v>
      </c>
      <c r="B61" s="94"/>
      <c r="C61" s="81">
        <v>58</v>
      </c>
      <c r="D61" s="254">
        <v>0</v>
      </c>
      <c r="E61" s="254">
        <v>0</v>
      </c>
      <c r="F61" s="254">
        <v>0</v>
      </c>
      <c r="G61" s="254">
        <v>0</v>
      </c>
      <c r="H61" s="254">
        <v>0</v>
      </c>
      <c r="I61" s="254"/>
      <c r="J61" s="254"/>
      <c r="K61" s="254"/>
      <c r="L61" s="254"/>
      <c r="M61" s="254"/>
      <c r="N61" s="254"/>
      <c r="O61" s="254"/>
    </row>
    <row r="62" spans="1:17" ht="15" customHeight="1">
      <c r="A62" s="94" t="s">
        <v>26</v>
      </c>
      <c r="B62" s="94"/>
      <c r="C62" s="81">
        <v>59</v>
      </c>
      <c r="D62" s="254">
        <v>0</v>
      </c>
      <c r="E62" s="254">
        <v>0</v>
      </c>
      <c r="F62" s="254">
        <v>0</v>
      </c>
      <c r="G62" s="254">
        <v>0</v>
      </c>
      <c r="H62" s="254">
        <v>0</v>
      </c>
      <c r="I62" s="254"/>
      <c r="J62" s="254"/>
      <c r="K62" s="254"/>
      <c r="L62" s="254"/>
      <c r="M62" s="254"/>
      <c r="N62" s="254"/>
      <c r="O62" s="254"/>
    </row>
    <row r="63" spans="1:17" ht="15" customHeight="1">
      <c r="A63" s="94" t="s">
        <v>26</v>
      </c>
      <c r="B63" s="94"/>
      <c r="C63" s="81">
        <v>60</v>
      </c>
      <c r="D63" s="133">
        <v>0</v>
      </c>
      <c r="E63" s="133">
        <v>0</v>
      </c>
      <c r="F63" s="133">
        <v>0</v>
      </c>
      <c r="G63" s="133">
        <v>0</v>
      </c>
      <c r="H63" s="133">
        <v>0</v>
      </c>
      <c r="I63" s="133"/>
      <c r="J63" s="133"/>
      <c r="K63" s="133"/>
      <c r="L63" s="133"/>
      <c r="M63" s="133"/>
      <c r="N63" s="133"/>
      <c r="O63" s="133"/>
    </row>
    <row r="64" spans="1:17" ht="15" customHeight="1">
      <c r="A64" s="94"/>
      <c r="B64" s="94"/>
      <c r="C64" s="81">
        <v>61</v>
      </c>
      <c r="D64" s="77">
        <f t="shared" ref="D64:O64" si="18">SUM(D55:D63)</f>
        <v>2355</v>
      </c>
      <c r="E64" s="77">
        <f t="shared" si="18"/>
        <v>2581</v>
      </c>
      <c r="F64" s="77">
        <f t="shared" si="18"/>
        <v>2480</v>
      </c>
      <c r="G64" s="77">
        <f t="shared" si="18"/>
        <v>2702</v>
      </c>
      <c r="H64" s="77">
        <f t="shared" si="18"/>
        <v>1563</v>
      </c>
      <c r="I64" s="77">
        <f t="shared" si="18"/>
        <v>0</v>
      </c>
      <c r="J64" s="77">
        <f t="shared" si="18"/>
        <v>0</v>
      </c>
      <c r="K64" s="77">
        <f t="shared" si="18"/>
        <v>0</v>
      </c>
      <c r="L64" s="77">
        <f t="shared" si="18"/>
        <v>0</v>
      </c>
      <c r="M64" s="77">
        <f t="shared" si="18"/>
        <v>0</v>
      </c>
      <c r="N64" s="77">
        <f t="shared" si="18"/>
        <v>0</v>
      </c>
      <c r="O64" s="77">
        <f t="shared" si="18"/>
        <v>0</v>
      </c>
    </row>
    <row r="65" spans="1:15" ht="15" customHeight="1">
      <c r="A65" s="73" t="s">
        <v>32</v>
      </c>
      <c r="B65" s="73"/>
      <c r="C65" s="81">
        <v>62</v>
      </c>
      <c r="D65" s="77"/>
      <c r="E65" s="77"/>
      <c r="F65" s="77"/>
      <c r="G65" s="77"/>
      <c r="H65" s="77"/>
      <c r="I65" s="77"/>
      <c r="J65" s="77"/>
      <c r="K65" s="77"/>
      <c r="L65" s="77"/>
      <c r="M65" s="77"/>
      <c r="N65" s="77"/>
      <c r="O65" s="77"/>
    </row>
    <row r="66" spans="1:15" ht="15" customHeight="1">
      <c r="A66" s="94" t="s">
        <v>22</v>
      </c>
      <c r="B66" s="94"/>
      <c r="C66" s="81">
        <v>63</v>
      </c>
      <c r="D66" s="76">
        <v>1200</v>
      </c>
      <c r="E66" s="76">
        <v>1170</v>
      </c>
      <c r="F66" s="76">
        <v>978</v>
      </c>
      <c r="G66" s="76">
        <v>1050</v>
      </c>
      <c r="H66" s="76">
        <v>1200</v>
      </c>
      <c r="I66" s="76"/>
      <c r="J66" s="76"/>
      <c r="K66" s="76"/>
      <c r="L66" s="76"/>
      <c r="M66" s="76"/>
      <c r="N66" s="76"/>
      <c r="O66" s="76"/>
    </row>
    <row r="67" spans="1:15" ht="15" customHeight="1">
      <c r="A67" s="94" t="s">
        <v>27</v>
      </c>
      <c r="B67" s="94"/>
      <c r="C67" s="81">
        <v>64</v>
      </c>
      <c r="D67" s="76">
        <v>50</v>
      </c>
      <c r="E67" s="76">
        <v>50</v>
      </c>
      <c r="F67" s="76">
        <v>50</v>
      </c>
      <c r="G67" s="76">
        <v>50</v>
      </c>
      <c r="H67" s="76">
        <v>50</v>
      </c>
      <c r="I67" s="76"/>
      <c r="J67" s="76"/>
      <c r="K67" s="76"/>
      <c r="L67" s="76"/>
      <c r="M67" s="76"/>
      <c r="N67" s="76"/>
      <c r="O67" s="76"/>
    </row>
    <row r="68" spans="1:15" ht="15" customHeight="1">
      <c r="A68" s="94" t="s">
        <v>28</v>
      </c>
      <c r="B68" s="94"/>
      <c r="C68" s="81">
        <v>65</v>
      </c>
      <c r="D68" s="76">
        <v>50</v>
      </c>
      <c r="E68" s="76">
        <v>50</v>
      </c>
      <c r="F68" s="76">
        <v>50</v>
      </c>
      <c r="G68" s="76">
        <v>50</v>
      </c>
      <c r="H68" s="76">
        <v>50</v>
      </c>
      <c r="I68" s="76"/>
      <c r="J68" s="76"/>
      <c r="K68" s="76"/>
      <c r="L68" s="76"/>
      <c r="M68" s="76"/>
      <c r="N68" s="76"/>
      <c r="O68" s="76"/>
    </row>
    <row r="69" spans="1:15" ht="15" customHeight="1">
      <c r="A69" s="94" t="s">
        <v>29</v>
      </c>
      <c r="B69" s="94"/>
      <c r="C69" s="81">
        <v>66</v>
      </c>
      <c r="D69" s="254">
        <v>10</v>
      </c>
      <c r="E69" s="254">
        <v>10</v>
      </c>
      <c r="F69" s="254">
        <v>10</v>
      </c>
      <c r="G69" s="254">
        <v>10</v>
      </c>
      <c r="H69" s="254">
        <v>10</v>
      </c>
      <c r="I69" s="254"/>
      <c r="J69" s="254"/>
      <c r="K69" s="254"/>
      <c r="L69" s="254"/>
      <c r="M69" s="254"/>
      <c r="N69" s="254"/>
      <c r="O69" s="254"/>
    </row>
    <row r="70" spans="1:15" ht="15" customHeight="1">
      <c r="A70" s="94" t="s">
        <v>29</v>
      </c>
      <c r="B70" s="94"/>
      <c r="C70" s="81">
        <v>67</v>
      </c>
      <c r="D70" s="254">
        <v>0</v>
      </c>
      <c r="E70" s="254">
        <v>0</v>
      </c>
      <c r="F70" s="254">
        <v>0</v>
      </c>
      <c r="G70" s="254">
        <v>0</v>
      </c>
      <c r="H70" s="254">
        <v>0</v>
      </c>
      <c r="I70" s="254"/>
      <c r="J70" s="254"/>
      <c r="K70" s="254"/>
      <c r="L70" s="254"/>
      <c r="M70" s="254"/>
      <c r="N70" s="254"/>
      <c r="O70" s="254"/>
    </row>
    <row r="71" spans="1:15" ht="15" customHeight="1">
      <c r="A71" s="94" t="s">
        <v>29</v>
      </c>
      <c r="B71" s="94"/>
      <c r="C71" s="81">
        <v>68</v>
      </c>
      <c r="D71" s="254">
        <v>0</v>
      </c>
      <c r="E71" s="254">
        <v>0</v>
      </c>
      <c r="F71" s="254">
        <v>0</v>
      </c>
      <c r="G71" s="254">
        <v>0</v>
      </c>
      <c r="H71" s="254">
        <v>0</v>
      </c>
      <c r="I71" s="254"/>
      <c r="J71" s="254"/>
      <c r="K71" s="254"/>
      <c r="L71" s="254"/>
      <c r="M71" s="254"/>
      <c r="N71" s="254"/>
      <c r="O71" s="254"/>
    </row>
    <row r="72" spans="1:15" ht="15" customHeight="1">
      <c r="A72" s="94" t="s">
        <v>29</v>
      </c>
      <c r="B72" s="94"/>
      <c r="C72" s="81">
        <v>69</v>
      </c>
      <c r="D72" s="254">
        <v>0</v>
      </c>
      <c r="E72" s="254">
        <v>0</v>
      </c>
      <c r="F72" s="254">
        <v>0</v>
      </c>
      <c r="G72" s="254">
        <v>0</v>
      </c>
      <c r="H72" s="254">
        <v>0</v>
      </c>
      <c r="I72" s="254"/>
      <c r="J72" s="254"/>
      <c r="K72" s="254"/>
      <c r="L72" s="254"/>
      <c r="M72" s="254"/>
      <c r="N72" s="254"/>
      <c r="O72" s="254"/>
    </row>
    <row r="73" spans="1:15" ht="15" customHeight="1">
      <c r="A73" s="94" t="s">
        <v>29</v>
      </c>
      <c r="B73" s="94"/>
      <c r="C73" s="81">
        <v>70</v>
      </c>
      <c r="D73" s="254">
        <v>0</v>
      </c>
      <c r="E73" s="254">
        <v>0</v>
      </c>
      <c r="F73" s="254">
        <v>0</v>
      </c>
      <c r="G73" s="254">
        <v>0</v>
      </c>
      <c r="H73" s="254">
        <v>0</v>
      </c>
      <c r="I73" s="254"/>
      <c r="J73" s="254"/>
      <c r="K73" s="254"/>
      <c r="L73" s="254"/>
      <c r="M73" s="254"/>
      <c r="N73" s="254"/>
      <c r="O73" s="254"/>
    </row>
    <row r="74" spans="1:15" ht="15" customHeight="1">
      <c r="A74" s="94" t="s">
        <v>29</v>
      </c>
      <c r="B74" s="94"/>
      <c r="C74" s="81">
        <v>71</v>
      </c>
      <c r="D74" s="133">
        <v>0</v>
      </c>
      <c r="E74" s="133">
        <v>0</v>
      </c>
      <c r="F74" s="133">
        <v>0</v>
      </c>
      <c r="G74" s="133">
        <v>0</v>
      </c>
      <c r="H74" s="133">
        <v>0</v>
      </c>
      <c r="I74" s="133"/>
      <c r="J74" s="133"/>
      <c r="K74" s="133"/>
      <c r="L74" s="133"/>
      <c r="M74" s="133"/>
      <c r="N74" s="133"/>
      <c r="O74" s="133"/>
    </row>
    <row r="75" spans="1:15" ht="15" customHeight="1">
      <c r="C75" s="81">
        <v>72</v>
      </c>
      <c r="D75" s="77">
        <f t="shared" ref="D75:O75" si="19">SUM(D66:D74)</f>
        <v>1310</v>
      </c>
      <c r="E75" s="77">
        <f t="shared" si="19"/>
        <v>1280</v>
      </c>
      <c r="F75" s="77">
        <f t="shared" si="19"/>
        <v>1088</v>
      </c>
      <c r="G75" s="77">
        <f t="shared" si="19"/>
        <v>1160</v>
      </c>
      <c r="H75" s="77">
        <f t="shared" si="19"/>
        <v>1310</v>
      </c>
      <c r="I75" s="77">
        <f t="shared" si="19"/>
        <v>0</v>
      </c>
      <c r="J75" s="77">
        <f t="shared" si="19"/>
        <v>0</v>
      </c>
      <c r="K75" s="77">
        <f t="shared" si="19"/>
        <v>0</v>
      </c>
      <c r="L75" s="77">
        <f t="shared" si="19"/>
        <v>0</v>
      </c>
      <c r="M75" s="77">
        <f t="shared" si="19"/>
        <v>0</v>
      </c>
      <c r="N75" s="77">
        <f t="shared" si="19"/>
        <v>0</v>
      </c>
      <c r="O75" s="77">
        <f t="shared" si="19"/>
        <v>0</v>
      </c>
    </row>
    <row r="76" spans="1:15" ht="7.5" customHeight="1">
      <c r="C76" s="81">
        <v>73</v>
      </c>
      <c r="D76" s="77"/>
      <c r="E76" s="77"/>
      <c r="F76" s="77"/>
      <c r="G76" s="77"/>
      <c r="H76" s="77"/>
      <c r="I76" s="77"/>
      <c r="J76" s="77"/>
      <c r="K76" s="77"/>
      <c r="L76" s="77"/>
      <c r="M76" s="77"/>
      <c r="N76" s="77"/>
      <c r="O76" s="77"/>
    </row>
    <row r="77" spans="1:15" ht="15" customHeight="1">
      <c r="A77" s="73" t="s">
        <v>38</v>
      </c>
      <c r="B77" s="73"/>
      <c r="C77" s="81">
        <v>74</v>
      </c>
      <c r="D77" s="80">
        <f t="shared" ref="D77:O77" si="20">D64-D75</f>
        <v>1045</v>
      </c>
      <c r="E77" s="80">
        <f t="shared" si="20"/>
        <v>1301</v>
      </c>
      <c r="F77" s="80">
        <f t="shared" si="20"/>
        <v>1392</v>
      </c>
      <c r="G77" s="80">
        <f t="shared" si="20"/>
        <v>1542</v>
      </c>
      <c r="H77" s="80">
        <f t="shared" si="20"/>
        <v>253</v>
      </c>
      <c r="I77" s="80">
        <f t="shared" si="20"/>
        <v>0</v>
      </c>
      <c r="J77" s="80">
        <f t="shared" si="20"/>
        <v>0</v>
      </c>
      <c r="K77" s="80">
        <f t="shared" si="20"/>
        <v>0</v>
      </c>
      <c r="L77" s="80">
        <f t="shared" si="20"/>
        <v>0</v>
      </c>
      <c r="M77" s="80">
        <f t="shared" si="20"/>
        <v>0</v>
      </c>
      <c r="N77" s="80">
        <f t="shared" si="20"/>
        <v>0</v>
      </c>
      <c r="O77" s="80">
        <f t="shared" si="20"/>
        <v>0</v>
      </c>
    </row>
    <row r="78" spans="1:15" ht="7.5" customHeight="1">
      <c r="C78" s="81">
        <v>75</v>
      </c>
      <c r="D78" s="77"/>
      <c r="E78" s="77"/>
      <c r="F78" s="77"/>
      <c r="G78" s="77"/>
      <c r="H78" s="77"/>
      <c r="I78" s="77"/>
      <c r="J78" s="77"/>
      <c r="K78" s="77"/>
      <c r="L78" s="77"/>
      <c r="M78" s="77"/>
      <c r="N78" s="77"/>
      <c r="O78" s="77"/>
    </row>
    <row r="79" spans="1:15" ht="15" customHeight="1">
      <c r="A79" s="73" t="s">
        <v>198</v>
      </c>
      <c r="B79" s="73"/>
      <c r="C79" s="81">
        <v>76</v>
      </c>
      <c r="D79" s="77"/>
      <c r="E79" s="77"/>
      <c r="F79" s="77"/>
      <c r="G79" s="77"/>
      <c r="H79" s="77"/>
      <c r="I79" s="77"/>
      <c r="J79" s="77"/>
      <c r="K79" s="77"/>
      <c r="L79" s="77"/>
      <c r="M79" s="77"/>
      <c r="N79" s="77"/>
      <c r="O79" s="77"/>
    </row>
    <row r="80" spans="1:15" ht="15" customHeight="1">
      <c r="A80" s="94" t="s">
        <v>33</v>
      </c>
      <c r="B80" s="94"/>
      <c r="C80" s="81">
        <v>77</v>
      </c>
      <c r="D80" s="76">
        <v>100</v>
      </c>
      <c r="E80" s="76">
        <v>110</v>
      </c>
      <c r="F80" s="76">
        <v>110</v>
      </c>
      <c r="G80" s="76">
        <v>110</v>
      </c>
      <c r="H80" s="76">
        <v>260</v>
      </c>
      <c r="I80" s="76"/>
      <c r="J80" s="76"/>
      <c r="K80" s="76"/>
      <c r="L80" s="76"/>
      <c r="M80" s="76"/>
      <c r="N80" s="76"/>
      <c r="O80" s="76"/>
    </row>
    <row r="81" spans="1:15" ht="15" customHeight="1">
      <c r="A81" s="94" t="s">
        <v>34</v>
      </c>
      <c r="B81" s="94"/>
      <c r="C81" s="81">
        <v>78</v>
      </c>
      <c r="D81" s="76">
        <v>100</v>
      </c>
      <c r="E81" s="76">
        <v>100</v>
      </c>
      <c r="F81" s="76">
        <v>100</v>
      </c>
      <c r="G81" s="76">
        <v>100</v>
      </c>
      <c r="H81" s="76">
        <v>100</v>
      </c>
      <c r="I81" s="76"/>
      <c r="J81" s="76"/>
      <c r="K81" s="76"/>
      <c r="L81" s="76"/>
      <c r="M81" s="76"/>
      <c r="N81" s="76"/>
      <c r="O81" s="76"/>
    </row>
    <row r="82" spans="1:15" ht="15" customHeight="1">
      <c r="A82" s="94" t="s">
        <v>1</v>
      </c>
      <c r="B82" s="94"/>
      <c r="C82" s="81">
        <v>79</v>
      </c>
      <c r="D82" s="254">
        <v>10</v>
      </c>
      <c r="E82" s="254">
        <v>10</v>
      </c>
      <c r="F82" s="254">
        <v>10</v>
      </c>
      <c r="G82" s="254">
        <v>10</v>
      </c>
      <c r="H82" s="254">
        <v>10</v>
      </c>
      <c r="I82" s="254"/>
      <c r="J82" s="254"/>
      <c r="K82" s="254"/>
      <c r="L82" s="254"/>
      <c r="M82" s="254"/>
      <c r="N82" s="254"/>
      <c r="O82" s="254"/>
    </row>
    <row r="83" spans="1:15" ht="15" customHeight="1">
      <c r="A83" s="94" t="s">
        <v>1</v>
      </c>
      <c r="B83" s="94"/>
      <c r="C83" s="81">
        <v>80</v>
      </c>
      <c r="D83" s="254">
        <v>0</v>
      </c>
      <c r="E83" s="254">
        <v>0</v>
      </c>
      <c r="F83" s="254">
        <v>0</v>
      </c>
      <c r="G83" s="254">
        <v>0</v>
      </c>
      <c r="H83" s="254">
        <v>0</v>
      </c>
      <c r="I83" s="254"/>
      <c r="J83" s="254"/>
      <c r="K83" s="254"/>
      <c r="L83" s="254"/>
      <c r="M83" s="254"/>
      <c r="N83" s="254"/>
      <c r="O83" s="254"/>
    </row>
    <row r="84" spans="1:15" ht="15" customHeight="1">
      <c r="A84" s="94" t="s">
        <v>1</v>
      </c>
      <c r="B84" s="94"/>
      <c r="C84" s="81">
        <v>81</v>
      </c>
      <c r="D84" s="254">
        <v>0</v>
      </c>
      <c r="E84" s="254">
        <v>0</v>
      </c>
      <c r="F84" s="254">
        <v>0</v>
      </c>
      <c r="G84" s="254">
        <v>0</v>
      </c>
      <c r="H84" s="254">
        <v>0</v>
      </c>
      <c r="I84" s="254"/>
      <c r="J84" s="254"/>
      <c r="K84" s="254"/>
      <c r="L84" s="254"/>
      <c r="M84" s="254"/>
      <c r="N84" s="254"/>
      <c r="O84" s="254"/>
    </row>
    <row r="85" spans="1:15" ht="15" customHeight="1">
      <c r="A85" s="94" t="s">
        <v>1</v>
      </c>
      <c r="B85" s="94"/>
      <c r="C85" s="81">
        <v>82</v>
      </c>
      <c r="D85" s="254">
        <v>0</v>
      </c>
      <c r="E85" s="254">
        <v>0</v>
      </c>
      <c r="F85" s="254">
        <v>0</v>
      </c>
      <c r="G85" s="254">
        <v>0</v>
      </c>
      <c r="H85" s="254">
        <v>0</v>
      </c>
      <c r="I85" s="254"/>
      <c r="J85" s="254"/>
      <c r="K85" s="254"/>
      <c r="L85" s="254"/>
      <c r="M85" s="254"/>
      <c r="N85" s="254"/>
      <c r="O85" s="254"/>
    </row>
    <row r="86" spans="1:15" ht="15" customHeight="1">
      <c r="A86" s="94" t="s">
        <v>1</v>
      </c>
      <c r="B86" s="94"/>
      <c r="C86" s="81">
        <v>83</v>
      </c>
      <c r="D86" s="133">
        <v>0</v>
      </c>
      <c r="E86" s="133">
        <v>0</v>
      </c>
      <c r="F86" s="133">
        <v>0</v>
      </c>
      <c r="G86" s="133">
        <v>0</v>
      </c>
      <c r="H86" s="133">
        <v>0</v>
      </c>
      <c r="I86" s="133"/>
      <c r="J86" s="133"/>
      <c r="K86" s="133"/>
      <c r="L86" s="133"/>
      <c r="M86" s="133"/>
      <c r="N86" s="133"/>
      <c r="O86" s="133"/>
    </row>
    <row r="87" spans="1:15" ht="15" customHeight="1">
      <c r="C87" s="81">
        <v>84</v>
      </c>
      <c r="D87" s="77">
        <f>SUM(D80:D86)</f>
        <v>210</v>
      </c>
      <c r="E87" s="77">
        <f t="shared" ref="E87" si="21">SUM(E80:E86)</f>
        <v>220</v>
      </c>
      <c r="F87" s="77">
        <f t="shared" ref="F87:O87" si="22">SUM(F80:F86)</f>
        <v>220</v>
      </c>
      <c r="G87" s="77">
        <f t="shared" si="22"/>
        <v>220</v>
      </c>
      <c r="H87" s="77">
        <f t="shared" si="22"/>
        <v>370</v>
      </c>
      <c r="I87" s="77">
        <f t="shared" si="22"/>
        <v>0</v>
      </c>
      <c r="J87" s="77">
        <f t="shared" si="22"/>
        <v>0</v>
      </c>
      <c r="K87" s="77">
        <f t="shared" si="22"/>
        <v>0</v>
      </c>
      <c r="L87" s="77">
        <f t="shared" si="22"/>
        <v>0</v>
      </c>
      <c r="M87" s="77">
        <f t="shared" si="22"/>
        <v>0</v>
      </c>
      <c r="N87" s="77">
        <f t="shared" si="22"/>
        <v>0</v>
      </c>
      <c r="O87" s="77">
        <f t="shared" si="22"/>
        <v>0</v>
      </c>
    </row>
    <row r="88" spans="1:15" ht="15" customHeight="1">
      <c r="A88" s="73" t="s">
        <v>35</v>
      </c>
      <c r="B88" s="73"/>
      <c r="C88" s="81">
        <v>85</v>
      </c>
      <c r="D88" s="77"/>
      <c r="E88" s="77"/>
      <c r="F88" s="77"/>
      <c r="G88" s="77"/>
      <c r="H88" s="77"/>
      <c r="I88" s="77"/>
      <c r="J88" s="77"/>
      <c r="K88" s="77"/>
      <c r="L88" s="77"/>
      <c r="M88" s="77"/>
      <c r="N88" s="77"/>
      <c r="O88" s="77"/>
    </row>
    <row r="89" spans="1:15" ht="15" customHeight="1">
      <c r="A89" s="94" t="s">
        <v>36</v>
      </c>
      <c r="B89" s="94"/>
      <c r="C89" s="81">
        <v>86</v>
      </c>
      <c r="D89" s="76">
        <v>50</v>
      </c>
      <c r="E89" s="76">
        <v>50</v>
      </c>
      <c r="F89" s="76">
        <v>50</v>
      </c>
      <c r="G89" s="76">
        <v>50</v>
      </c>
      <c r="H89" s="76">
        <v>50</v>
      </c>
      <c r="I89" s="76"/>
      <c r="J89" s="76"/>
      <c r="K89" s="76"/>
      <c r="L89" s="76"/>
      <c r="M89" s="76"/>
      <c r="N89" s="76"/>
      <c r="O89" s="76"/>
    </row>
    <row r="90" spans="1:15" ht="15" customHeight="1">
      <c r="A90" s="94" t="s">
        <v>1</v>
      </c>
      <c r="B90" s="94"/>
      <c r="C90" s="81">
        <v>87</v>
      </c>
      <c r="D90" s="254">
        <v>5</v>
      </c>
      <c r="E90" s="254">
        <v>5</v>
      </c>
      <c r="F90" s="254">
        <v>5</v>
      </c>
      <c r="G90" s="254">
        <v>5</v>
      </c>
      <c r="H90" s="254">
        <v>5</v>
      </c>
      <c r="I90" s="254"/>
      <c r="J90" s="254"/>
      <c r="K90" s="254"/>
      <c r="L90" s="254"/>
      <c r="M90" s="254"/>
      <c r="N90" s="254"/>
      <c r="O90" s="254"/>
    </row>
    <row r="91" spans="1:15" ht="15" customHeight="1">
      <c r="A91" s="94" t="s">
        <v>1</v>
      </c>
      <c r="B91" s="94"/>
      <c r="C91" s="81">
        <v>88</v>
      </c>
      <c r="D91" s="254">
        <v>0</v>
      </c>
      <c r="E91" s="254">
        <v>0</v>
      </c>
      <c r="F91" s="254">
        <v>0</v>
      </c>
      <c r="G91" s="254">
        <v>0</v>
      </c>
      <c r="H91" s="254">
        <v>0</v>
      </c>
      <c r="I91" s="254"/>
      <c r="J91" s="254"/>
      <c r="K91" s="254"/>
      <c r="L91" s="254"/>
      <c r="M91" s="254"/>
      <c r="N91" s="254"/>
      <c r="O91" s="254"/>
    </row>
    <row r="92" spans="1:15" ht="15" customHeight="1">
      <c r="A92" s="94" t="s">
        <v>1</v>
      </c>
      <c r="B92" s="94"/>
      <c r="C92" s="81">
        <v>89</v>
      </c>
      <c r="D92" s="254">
        <v>0</v>
      </c>
      <c r="E92" s="254">
        <v>0</v>
      </c>
      <c r="F92" s="254">
        <v>0</v>
      </c>
      <c r="G92" s="254">
        <v>0</v>
      </c>
      <c r="H92" s="254">
        <v>0</v>
      </c>
      <c r="I92" s="254"/>
      <c r="J92" s="254"/>
      <c r="K92" s="254"/>
      <c r="L92" s="254"/>
      <c r="M92" s="254"/>
      <c r="N92" s="254"/>
      <c r="O92" s="254"/>
    </row>
    <row r="93" spans="1:15" ht="15" customHeight="1">
      <c r="A93" s="94" t="s">
        <v>1</v>
      </c>
      <c r="B93" s="94"/>
      <c r="C93" s="81">
        <v>90</v>
      </c>
      <c r="D93" s="254">
        <v>0</v>
      </c>
      <c r="E93" s="254">
        <v>0</v>
      </c>
      <c r="F93" s="254">
        <v>0</v>
      </c>
      <c r="G93" s="254">
        <v>0</v>
      </c>
      <c r="H93" s="254">
        <v>0</v>
      </c>
      <c r="I93" s="254"/>
      <c r="J93" s="254"/>
      <c r="K93" s="254"/>
      <c r="L93" s="254"/>
      <c r="M93" s="254"/>
      <c r="N93" s="254"/>
      <c r="O93" s="254"/>
    </row>
    <row r="94" spans="1:15" ht="15" customHeight="1">
      <c r="A94" s="94" t="s">
        <v>1</v>
      </c>
      <c r="B94" s="94"/>
      <c r="C94" s="81">
        <v>91</v>
      </c>
      <c r="D94" s="133">
        <v>0</v>
      </c>
      <c r="E94" s="133">
        <v>0</v>
      </c>
      <c r="F94" s="133">
        <v>0</v>
      </c>
      <c r="G94" s="133">
        <v>0</v>
      </c>
      <c r="H94" s="133">
        <v>0</v>
      </c>
      <c r="I94" s="133"/>
      <c r="J94" s="133"/>
      <c r="K94" s="133"/>
      <c r="L94" s="133"/>
      <c r="M94" s="133"/>
      <c r="N94" s="133"/>
      <c r="O94" s="133"/>
    </row>
    <row r="95" spans="1:15" ht="15" customHeight="1">
      <c r="C95" s="81">
        <v>92</v>
      </c>
      <c r="D95" s="77">
        <f>SUM(D89:D94)</f>
        <v>55</v>
      </c>
      <c r="E95" s="77">
        <f t="shared" ref="E95" si="23">SUM(E89:E94)</f>
        <v>55</v>
      </c>
      <c r="F95" s="77">
        <f t="shared" ref="F95:O95" si="24">SUM(F89:F94)</f>
        <v>55</v>
      </c>
      <c r="G95" s="77">
        <f t="shared" si="24"/>
        <v>55</v>
      </c>
      <c r="H95" s="77">
        <f t="shared" si="24"/>
        <v>55</v>
      </c>
      <c r="I95" s="77">
        <f t="shared" si="24"/>
        <v>0</v>
      </c>
      <c r="J95" s="77">
        <f t="shared" si="24"/>
        <v>0</v>
      </c>
      <c r="K95" s="77">
        <f t="shared" si="24"/>
        <v>0</v>
      </c>
      <c r="L95" s="77">
        <f t="shared" si="24"/>
        <v>0</v>
      </c>
      <c r="M95" s="77">
        <f t="shared" si="24"/>
        <v>0</v>
      </c>
      <c r="N95" s="77">
        <f t="shared" si="24"/>
        <v>0</v>
      </c>
      <c r="O95" s="77">
        <f t="shared" si="24"/>
        <v>0</v>
      </c>
    </row>
    <row r="96" spans="1:15" ht="7.5" customHeight="1">
      <c r="C96" s="81">
        <v>93</v>
      </c>
      <c r="D96" s="77"/>
      <c r="E96" s="77"/>
      <c r="F96" s="77"/>
      <c r="G96" s="77"/>
      <c r="H96" s="77"/>
      <c r="I96" s="77"/>
      <c r="J96" s="77"/>
      <c r="K96" s="77"/>
      <c r="L96" s="77"/>
      <c r="M96" s="77"/>
      <c r="N96" s="77"/>
      <c r="O96" s="77"/>
    </row>
    <row r="97" spans="1:16" ht="15" customHeight="1" thickBot="1">
      <c r="A97" s="73" t="s">
        <v>37</v>
      </c>
      <c r="B97" s="73"/>
      <c r="C97" s="81">
        <v>94</v>
      </c>
      <c r="D97" s="132">
        <f t="shared" ref="D97:O97" si="25">D64-D75+D87-D95</f>
        <v>1200</v>
      </c>
      <c r="E97" s="132">
        <f t="shared" si="25"/>
        <v>1466</v>
      </c>
      <c r="F97" s="132">
        <f t="shared" si="25"/>
        <v>1557</v>
      </c>
      <c r="G97" s="132">
        <f t="shared" si="25"/>
        <v>1707</v>
      </c>
      <c r="H97" s="132">
        <f t="shared" si="25"/>
        <v>568</v>
      </c>
      <c r="I97" s="132">
        <f t="shared" si="25"/>
        <v>0</v>
      </c>
      <c r="J97" s="132">
        <f t="shared" si="25"/>
        <v>0</v>
      </c>
      <c r="K97" s="132">
        <f t="shared" si="25"/>
        <v>0</v>
      </c>
      <c r="L97" s="132">
        <f t="shared" si="25"/>
        <v>0</v>
      </c>
      <c r="M97" s="132">
        <f t="shared" si="25"/>
        <v>0</v>
      </c>
      <c r="N97" s="132">
        <f t="shared" si="25"/>
        <v>0</v>
      </c>
      <c r="O97" s="132">
        <f t="shared" si="25"/>
        <v>0</v>
      </c>
    </row>
    <row r="98" spans="1:16" ht="15" customHeight="1" thickTop="1">
      <c r="A98" s="73"/>
      <c r="B98" s="73"/>
      <c r="C98" s="81">
        <v>95</v>
      </c>
      <c r="D98" s="248"/>
      <c r="E98" s="248"/>
      <c r="F98" s="248"/>
      <c r="G98" s="248"/>
      <c r="H98" s="248"/>
      <c r="I98" s="248"/>
      <c r="J98" s="248"/>
      <c r="K98" s="248"/>
      <c r="L98" s="248"/>
      <c r="M98" s="248"/>
      <c r="N98" s="248"/>
      <c r="O98" s="248"/>
    </row>
    <row r="99" spans="1:16" ht="15" hidden="1" customHeight="1">
      <c r="C99" s="81">
        <v>96</v>
      </c>
    </row>
    <row r="100" spans="1:16" ht="15" hidden="1" customHeight="1">
      <c r="C100" s="81">
        <v>97</v>
      </c>
      <c r="D100" s="77"/>
      <c r="E100" s="77"/>
      <c r="F100" s="77"/>
      <c r="G100" s="77"/>
      <c r="H100" s="77"/>
      <c r="I100" s="77"/>
      <c r="J100" s="77"/>
      <c r="K100" s="77"/>
      <c r="L100" s="77"/>
      <c r="M100" s="77"/>
      <c r="N100" s="77"/>
      <c r="O100" s="77"/>
    </row>
    <row r="101" spans="1:16" ht="15" hidden="1" customHeight="1">
      <c r="A101" s="94" t="s">
        <v>41</v>
      </c>
      <c r="B101" s="94"/>
      <c r="C101" s="81">
        <v>98</v>
      </c>
      <c r="D101" s="139">
        <f t="shared" ref="D101:O101" si="26">IF(D22&gt;0,(D57/1.15)/(D22/30.42),0)</f>
        <v>27.0149861239593</v>
      </c>
      <c r="E101" s="139">
        <f t="shared" si="26"/>
        <v>28.515239214369654</v>
      </c>
      <c r="F101" s="139">
        <f t="shared" si="26"/>
        <v>22.158487712665412</v>
      </c>
      <c r="G101" s="139">
        <f t="shared" si="26"/>
        <v>29.354265639604222</v>
      </c>
      <c r="H101" s="139">
        <f t="shared" si="26"/>
        <v>6.1088445832332461</v>
      </c>
      <c r="I101" s="139">
        <f t="shared" si="26"/>
        <v>0</v>
      </c>
      <c r="J101" s="139">
        <f t="shared" si="26"/>
        <v>0</v>
      </c>
      <c r="K101" s="139">
        <f t="shared" si="26"/>
        <v>0</v>
      </c>
      <c r="L101" s="139">
        <f t="shared" si="26"/>
        <v>0</v>
      </c>
      <c r="M101" s="139">
        <f t="shared" si="26"/>
        <v>0</v>
      </c>
      <c r="N101" s="139">
        <f t="shared" si="26"/>
        <v>0</v>
      </c>
      <c r="O101" s="139">
        <f t="shared" si="26"/>
        <v>0</v>
      </c>
    </row>
    <row r="102" spans="1:16" ht="15" hidden="1" customHeight="1">
      <c r="A102" s="94" t="s">
        <v>42</v>
      </c>
      <c r="B102" s="94"/>
      <c r="C102" s="81">
        <v>99</v>
      </c>
      <c r="D102" s="139">
        <f t="shared" ref="D102:O102" si="27">IF(D8&gt;0,(D66/1.15)/(D48/30.42),0)</f>
        <v>24.249510080712131</v>
      </c>
      <c r="E102" s="139">
        <f t="shared" si="27"/>
        <v>30.076815819495504</v>
      </c>
      <c r="F102" s="139">
        <f t="shared" si="27"/>
        <v>15.832451705603749</v>
      </c>
      <c r="G102" s="139">
        <f t="shared" si="27"/>
        <v>23.16495630416652</v>
      </c>
      <c r="H102" s="139">
        <f t="shared" si="27"/>
        <v>10.949502827061806</v>
      </c>
      <c r="I102" s="139">
        <f t="shared" si="27"/>
        <v>0</v>
      </c>
      <c r="J102" s="139">
        <f t="shared" si="27"/>
        <v>0</v>
      </c>
      <c r="K102" s="139">
        <f t="shared" si="27"/>
        <v>0</v>
      </c>
      <c r="L102" s="139">
        <f t="shared" si="27"/>
        <v>0</v>
      </c>
      <c r="M102" s="139">
        <f t="shared" si="27"/>
        <v>0</v>
      </c>
      <c r="N102" s="139">
        <f t="shared" si="27"/>
        <v>0</v>
      </c>
      <c r="O102" s="139">
        <f t="shared" si="27"/>
        <v>0</v>
      </c>
    </row>
    <row r="103" spans="1:16" ht="15" hidden="1" customHeight="1">
      <c r="A103" s="94" t="s">
        <v>43</v>
      </c>
      <c r="B103" s="94"/>
      <c r="C103" s="81">
        <v>100</v>
      </c>
      <c r="D103" s="139">
        <f t="shared" ref="D103:O103" si="28">IF(D8&gt;0,(D64/D75),0)</f>
        <v>1.7977099236641221</v>
      </c>
      <c r="E103" s="139">
        <f t="shared" si="28"/>
        <v>2.0164062500000002</v>
      </c>
      <c r="F103" s="139">
        <f t="shared" si="28"/>
        <v>2.2794117647058822</v>
      </c>
      <c r="G103" s="139">
        <f t="shared" si="28"/>
        <v>2.329310344827586</v>
      </c>
      <c r="H103" s="139">
        <f t="shared" si="28"/>
        <v>1.1931297709923665</v>
      </c>
      <c r="I103" s="139">
        <f t="shared" si="28"/>
        <v>0</v>
      </c>
      <c r="J103" s="139">
        <f t="shared" si="28"/>
        <v>0</v>
      </c>
      <c r="K103" s="139">
        <f t="shared" si="28"/>
        <v>0</v>
      </c>
      <c r="L103" s="139">
        <f t="shared" si="28"/>
        <v>0</v>
      </c>
      <c r="M103" s="139">
        <f t="shared" si="28"/>
        <v>0</v>
      </c>
      <c r="N103" s="139">
        <f t="shared" si="28"/>
        <v>0</v>
      </c>
      <c r="O103" s="139">
        <f t="shared" si="28"/>
        <v>0</v>
      </c>
    </row>
    <row r="104" spans="1:16" ht="15" hidden="1" customHeight="1">
      <c r="A104" s="94" t="s">
        <v>44</v>
      </c>
      <c r="B104" s="94"/>
      <c r="C104" s="81">
        <v>101</v>
      </c>
      <c r="D104" s="139">
        <f t="shared" ref="D104:O104" si="29">IF(D8&gt;0,(D97/(D95+D75)),0)</f>
        <v>0.87912087912087911</v>
      </c>
      <c r="E104" s="139">
        <f t="shared" si="29"/>
        <v>1.09812734082397</v>
      </c>
      <c r="F104" s="139">
        <f t="shared" si="29"/>
        <v>1.3622047244094488</v>
      </c>
      <c r="G104" s="139">
        <f t="shared" si="29"/>
        <v>1.4049382716049383</v>
      </c>
      <c r="H104" s="139">
        <f t="shared" si="29"/>
        <v>0.41611721611721614</v>
      </c>
      <c r="I104" s="139">
        <f t="shared" si="29"/>
        <v>0</v>
      </c>
      <c r="J104" s="139">
        <f t="shared" si="29"/>
        <v>0</v>
      </c>
      <c r="K104" s="139">
        <f t="shared" si="29"/>
        <v>0</v>
      </c>
      <c r="L104" s="139">
        <f t="shared" si="29"/>
        <v>0</v>
      </c>
      <c r="M104" s="139">
        <f t="shared" si="29"/>
        <v>0</v>
      </c>
      <c r="N104" s="139">
        <f t="shared" si="29"/>
        <v>0</v>
      </c>
      <c r="O104" s="139">
        <f t="shared" si="29"/>
        <v>0</v>
      </c>
    </row>
    <row r="105" spans="1:16" ht="15" customHeight="1">
      <c r="C105" s="81">
        <v>102</v>
      </c>
      <c r="D105" s="77"/>
      <c r="E105" s="75">
        <f t="shared" ref="E105:P105" si="30">D4</f>
        <v>41851</v>
      </c>
      <c r="F105" s="75">
        <f t="shared" si="30"/>
        <v>41882</v>
      </c>
      <c r="G105" s="75">
        <f t="shared" si="30"/>
        <v>41912</v>
      </c>
      <c r="H105" s="75">
        <f t="shared" si="30"/>
        <v>41943</v>
      </c>
      <c r="I105" s="75">
        <f t="shared" si="30"/>
        <v>41973</v>
      </c>
      <c r="J105" s="75">
        <f t="shared" si="30"/>
        <v>42004</v>
      </c>
      <c r="K105" s="75">
        <f t="shared" si="30"/>
        <v>42035</v>
      </c>
      <c r="L105" s="75">
        <f t="shared" si="30"/>
        <v>42063</v>
      </c>
      <c r="M105" s="75">
        <f t="shared" si="30"/>
        <v>42094</v>
      </c>
      <c r="N105" s="75">
        <f t="shared" si="30"/>
        <v>42124</v>
      </c>
      <c r="O105" s="75">
        <f t="shared" si="30"/>
        <v>42155</v>
      </c>
      <c r="P105" s="75">
        <f t="shared" si="30"/>
        <v>42185</v>
      </c>
    </row>
    <row r="106" spans="1:16" ht="15" customHeight="1">
      <c r="A106" s="73" t="s">
        <v>109</v>
      </c>
      <c r="C106" s="81">
        <v>103</v>
      </c>
      <c r="D106" s="233"/>
      <c r="E106" s="233"/>
      <c r="F106" s="233"/>
      <c r="G106" s="233"/>
      <c r="H106" s="233"/>
      <c r="I106" s="156"/>
      <c r="J106" s="77"/>
      <c r="K106" s="77"/>
      <c r="L106" s="77"/>
      <c r="M106" s="77"/>
      <c r="N106" s="77"/>
      <c r="O106" s="77"/>
    </row>
    <row r="107" spans="1:16" ht="15" customHeight="1">
      <c r="A107" s="94" t="s">
        <v>108</v>
      </c>
      <c r="C107" s="81">
        <v>104</v>
      </c>
      <c r="D107" s="76">
        <v>900</v>
      </c>
      <c r="E107" s="76">
        <v>900</v>
      </c>
      <c r="F107" s="76">
        <v>900</v>
      </c>
      <c r="G107" s="76">
        <v>900</v>
      </c>
      <c r="H107" s="76">
        <v>1200</v>
      </c>
      <c r="I107" s="76"/>
      <c r="J107" s="76"/>
      <c r="K107" s="76"/>
      <c r="L107" s="76"/>
      <c r="M107" s="76"/>
      <c r="N107" s="76"/>
      <c r="O107" s="76"/>
    </row>
    <row r="108" spans="1:16" ht="15" customHeight="1">
      <c r="A108" s="94" t="s">
        <v>110</v>
      </c>
      <c r="C108" s="81">
        <v>105</v>
      </c>
      <c r="D108" s="76">
        <v>100</v>
      </c>
      <c r="E108" s="76">
        <v>100</v>
      </c>
      <c r="F108" s="76">
        <v>100</v>
      </c>
      <c r="G108" s="76">
        <v>75</v>
      </c>
      <c r="H108" s="76">
        <v>100</v>
      </c>
      <c r="I108" s="76"/>
      <c r="J108" s="76"/>
      <c r="K108" s="76"/>
      <c r="L108" s="76"/>
      <c r="M108" s="76"/>
      <c r="N108" s="76"/>
      <c r="O108" s="76"/>
    </row>
    <row r="109" spans="1:16" ht="15" customHeight="1">
      <c r="A109" s="94" t="s">
        <v>111</v>
      </c>
      <c r="C109" s="81">
        <v>106</v>
      </c>
      <c r="D109" s="76">
        <v>100</v>
      </c>
      <c r="E109" s="76">
        <v>100</v>
      </c>
      <c r="F109" s="76">
        <v>100</v>
      </c>
      <c r="G109" s="76">
        <v>0</v>
      </c>
      <c r="H109" s="76">
        <v>50</v>
      </c>
      <c r="I109" s="76"/>
      <c r="J109" s="76"/>
      <c r="K109" s="76"/>
      <c r="L109" s="76"/>
      <c r="M109" s="76"/>
      <c r="N109" s="76"/>
      <c r="O109" s="76"/>
    </row>
    <row r="110" spans="1:16" ht="15" customHeight="1">
      <c r="A110" s="94" t="s">
        <v>112</v>
      </c>
      <c r="C110" s="81">
        <v>107</v>
      </c>
      <c r="D110" s="133">
        <v>100</v>
      </c>
      <c r="E110" s="133">
        <v>150</v>
      </c>
      <c r="F110" s="133">
        <v>0</v>
      </c>
      <c r="G110" s="133">
        <v>0</v>
      </c>
      <c r="H110" s="133">
        <v>50</v>
      </c>
      <c r="I110" s="133"/>
      <c r="J110" s="133"/>
      <c r="K110" s="133"/>
      <c r="L110" s="133"/>
      <c r="M110" s="133"/>
      <c r="N110" s="133"/>
      <c r="O110" s="133"/>
    </row>
    <row r="111" spans="1:16" ht="15" customHeight="1" thickBot="1">
      <c r="C111" s="81">
        <v>108</v>
      </c>
      <c r="D111" s="234">
        <f>SUM(D107:D110)</f>
        <v>1200</v>
      </c>
      <c r="E111" s="234">
        <f t="shared" ref="E111:O111" si="31">SUM(E107:E110)</f>
        <v>1250</v>
      </c>
      <c r="F111" s="234">
        <f t="shared" si="31"/>
        <v>1100</v>
      </c>
      <c r="G111" s="234">
        <f t="shared" si="31"/>
        <v>975</v>
      </c>
      <c r="H111" s="234">
        <f t="shared" si="31"/>
        <v>1400</v>
      </c>
      <c r="I111" s="234">
        <f t="shared" si="31"/>
        <v>0</v>
      </c>
      <c r="J111" s="234">
        <f t="shared" si="31"/>
        <v>0</v>
      </c>
      <c r="K111" s="234">
        <f t="shared" si="31"/>
        <v>0</v>
      </c>
      <c r="L111" s="234">
        <f t="shared" si="31"/>
        <v>0</v>
      </c>
      <c r="M111" s="234">
        <f t="shared" si="31"/>
        <v>0</v>
      </c>
      <c r="N111" s="234">
        <f t="shared" si="31"/>
        <v>0</v>
      </c>
      <c r="O111" s="234">
        <f t="shared" si="31"/>
        <v>0</v>
      </c>
    </row>
    <row r="112" spans="1:16" ht="13.5" thickTop="1">
      <c r="C112" s="81">
        <v>109</v>
      </c>
      <c r="D112" s="236" t="str">
        <f t="shared" ref="D112:O112" si="32">IF(D111=D57,"","Check Total")</f>
        <v/>
      </c>
      <c r="E112" s="236" t="str">
        <f t="shared" si="32"/>
        <v>Check Total</v>
      </c>
      <c r="F112" s="236" t="str">
        <f t="shared" si="32"/>
        <v>Check Total</v>
      </c>
      <c r="G112" s="236" t="str">
        <f t="shared" si="32"/>
        <v>Check Total</v>
      </c>
      <c r="H112" s="236" t="str">
        <f t="shared" si="32"/>
        <v>Check Total</v>
      </c>
      <c r="I112" s="236" t="str">
        <f t="shared" si="32"/>
        <v/>
      </c>
      <c r="J112" s="236" t="str">
        <f t="shared" si="32"/>
        <v/>
      </c>
      <c r="K112" s="236" t="str">
        <f t="shared" si="32"/>
        <v/>
      </c>
      <c r="L112" s="236" t="str">
        <f t="shared" si="32"/>
        <v/>
      </c>
      <c r="M112" s="236" t="str">
        <f t="shared" si="32"/>
        <v/>
      </c>
      <c r="N112" s="236" t="str">
        <f t="shared" si="32"/>
        <v/>
      </c>
      <c r="O112" s="236" t="str">
        <f t="shared" si="32"/>
        <v/>
      </c>
    </row>
    <row r="113" spans="1:17" ht="12.75" hidden="1">
      <c r="A113" s="94" t="s">
        <v>113</v>
      </c>
      <c r="C113" s="81">
        <v>110</v>
      </c>
      <c r="D113" s="236">
        <f>SUM(D108:D110)</f>
        <v>300</v>
      </c>
      <c r="E113" s="236">
        <f t="shared" ref="E113:O113" si="33">SUM(E108:E110)</f>
        <v>350</v>
      </c>
      <c r="F113" s="236">
        <f t="shared" si="33"/>
        <v>200</v>
      </c>
      <c r="G113" s="236">
        <f t="shared" si="33"/>
        <v>75</v>
      </c>
      <c r="H113" s="236">
        <f t="shared" si="33"/>
        <v>200</v>
      </c>
      <c r="I113" s="236">
        <f t="shared" si="33"/>
        <v>0</v>
      </c>
      <c r="J113" s="236">
        <f t="shared" si="33"/>
        <v>0</v>
      </c>
      <c r="K113" s="236">
        <f t="shared" si="33"/>
        <v>0</v>
      </c>
      <c r="L113" s="236">
        <f t="shared" si="33"/>
        <v>0</v>
      </c>
      <c r="M113" s="236">
        <f t="shared" si="33"/>
        <v>0</v>
      </c>
      <c r="N113" s="236">
        <f t="shared" si="33"/>
        <v>0</v>
      </c>
      <c r="O113" s="236">
        <f t="shared" si="33"/>
        <v>0</v>
      </c>
    </row>
    <row r="114" spans="1:17" ht="12.75" hidden="1">
      <c r="A114" s="94"/>
      <c r="C114" s="81">
        <v>111</v>
      </c>
      <c r="D114" s="240">
        <f>IF(D113&gt;0,(D113/D111),0)</f>
        <v>0.25</v>
      </c>
      <c r="E114" s="240">
        <f t="shared" ref="E114:O114" si="34">IF(E113&gt;0,(E113/E111),0)</f>
        <v>0.28000000000000003</v>
      </c>
      <c r="F114" s="240">
        <f t="shared" si="34"/>
        <v>0.18181818181818182</v>
      </c>
      <c r="G114" s="240">
        <f t="shared" si="34"/>
        <v>7.6923076923076927E-2</v>
      </c>
      <c r="H114" s="240">
        <f t="shared" si="34"/>
        <v>0.14285714285714285</v>
      </c>
      <c r="I114" s="240">
        <f t="shared" si="34"/>
        <v>0</v>
      </c>
      <c r="J114" s="240">
        <f t="shared" si="34"/>
        <v>0</v>
      </c>
      <c r="K114" s="240">
        <f t="shared" si="34"/>
        <v>0</v>
      </c>
      <c r="L114" s="240">
        <f t="shared" si="34"/>
        <v>0</v>
      </c>
      <c r="M114" s="240">
        <f t="shared" si="34"/>
        <v>0</v>
      </c>
      <c r="N114" s="240">
        <f t="shared" si="34"/>
        <v>0</v>
      </c>
      <c r="O114" s="240">
        <f t="shared" si="34"/>
        <v>0</v>
      </c>
    </row>
    <row r="115" spans="1:17" ht="15" hidden="1" customHeight="1">
      <c r="C115" s="81">
        <v>112</v>
      </c>
      <c r="D115" s="236"/>
      <c r="E115" s="236"/>
      <c r="F115" s="236"/>
      <c r="G115" s="236"/>
      <c r="H115" s="236"/>
      <c r="I115" s="236"/>
      <c r="J115" s="236"/>
      <c r="K115" s="236"/>
      <c r="L115" s="236"/>
      <c r="M115" s="236"/>
      <c r="N115" s="236"/>
      <c r="O115" s="236"/>
    </row>
    <row r="116" spans="1:17" ht="15" customHeight="1">
      <c r="A116" s="73" t="s">
        <v>107</v>
      </c>
      <c r="C116" s="81">
        <v>113</v>
      </c>
      <c r="D116" s="233"/>
      <c r="E116" s="233"/>
      <c r="F116" s="233"/>
      <c r="G116" s="233"/>
      <c r="H116" s="233"/>
      <c r="I116" s="156"/>
      <c r="J116" s="77"/>
      <c r="K116" s="77"/>
      <c r="L116" s="77"/>
      <c r="M116" s="77"/>
      <c r="N116" s="77"/>
      <c r="O116" s="77"/>
    </row>
    <row r="117" spans="1:17" ht="15" customHeight="1">
      <c r="A117" s="94" t="s">
        <v>108</v>
      </c>
      <c r="C117" s="81">
        <v>114</v>
      </c>
      <c r="D117" s="76">
        <v>1000</v>
      </c>
      <c r="E117" s="76">
        <v>1000</v>
      </c>
      <c r="F117" s="76">
        <v>900</v>
      </c>
      <c r="G117" s="76">
        <v>800</v>
      </c>
      <c r="H117" s="76">
        <v>1100</v>
      </c>
      <c r="I117" s="76"/>
      <c r="J117" s="76"/>
      <c r="K117" s="76"/>
      <c r="L117" s="76"/>
      <c r="M117" s="76"/>
      <c r="N117" s="76"/>
      <c r="O117" s="76"/>
    </row>
    <row r="118" spans="1:17" ht="15" customHeight="1">
      <c r="A118" s="94" t="s">
        <v>110</v>
      </c>
      <c r="C118" s="81">
        <v>115</v>
      </c>
      <c r="D118" s="76">
        <v>200</v>
      </c>
      <c r="E118" s="76">
        <v>70</v>
      </c>
      <c r="F118" s="76">
        <v>50</v>
      </c>
      <c r="G118" s="76">
        <v>100</v>
      </c>
      <c r="H118" s="76">
        <v>100</v>
      </c>
      <c r="I118" s="76"/>
      <c r="J118" s="76"/>
      <c r="K118" s="76"/>
      <c r="L118" s="76"/>
      <c r="M118" s="76"/>
      <c r="N118" s="76"/>
      <c r="O118" s="76"/>
    </row>
    <row r="119" spans="1:17" ht="15" customHeight="1">
      <c r="A119" s="94" t="s">
        <v>111</v>
      </c>
      <c r="C119" s="81">
        <v>116</v>
      </c>
      <c r="D119" s="76">
        <v>0</v>
      </c>
      <c r="E119" s="76">
        <v>100</v>
      </c>
      <c r="F119" s="76">
        <v>28</v>
      </c>
      <c r="G119" s="76">
        <v>100</v>
      </c>
      <c r="H119" s="76">
        <v>0</v>
      </c>
      <c r="I119" s="76"/>
      <c r="J119" s="76"/>
      <c r="K119" s="76"/>
      <c r="L119" s="76"/>
      <c r="M119" s="76"/>
      <c r="N119" s="76"/>
      <c r="O119" s="76"/>
    </row>
    <row r="120" spans="1:17" ht="15" customHeight="1">
      <c r="A120" s="94" t="s">
        <v>112</v>
      </c>
      <c r="C120" s="81">
        <v>117</v>
      </c>
      <c r="D120" s="133">
        <v>0</v>
      </c>
      <c r="E120" s="133">
        <v>0</v>
      </c>
      <c r="F120" s="133">
        <v>0</v>
      </c>
      <c r="G120" s="133">
        <v>50</v>
      </c>
      <c r="H120" s="133">
        <v>0</v>
      </c>
      <c r="I120" s="133"/>
      <c r="J120" s="133"/>
      <c r="K120" s="133"/>
      <c r="L120" s="133"/>
      <c r="M120" s="133"/>
      <c r="N120" s="133"/>
      <c r="O120" s="133"/>
    </row>
    <row r="121" spans="1:17" ht="15" customHeight="1" thickBot="1">
      <c r="C121" s="81">
        <v>118</v>
      </c>
      <c r="D121" s="234">
        <f>SUM(D117:D120)</f>
        <v>1200</v>
      </c>
      <c r="E121" s="234">
        <f t="shared" ref="E121" si="35">SUM(E117:E120)</f>
        <v>1170</v>
      </c>
      <c r="F121" s="234">
        <f t="shared" ref="F121" si="36">SUM(F117:F120)</f>
        <v>978</v>
      </c>
      <c r="G121" s="234">
        <f t="shared" ref="G121" si="37">SUM(G117:G120)</f>
        <v>1050</v>
      </c>
      <c r="H121" s="234">
        <f t="shared" ref="H121" si="38">SUM(H117:H120)</f>
        <v>1200</v>
      </c>
      <c r="I121" s="234">
        <f t="shared" ref="I121" si="39">SUM(I117:I120)</f>
        <v>0</v>
      </c>
      <c r="J121" s="234">
        <f t="shared" ref="J121" si="40">SUM(J117:J120)</f>
        <v>0</v>
      </c>
      <c r="K121" s="234">
        <f t="shared" ref="K121" si="41">SUM(K117:K120)</f>
        <v>0</v>
      </c>
      <c r="L121" s="234">
        <f t="shared" ref="L121" si="42">SUM(L117:L120)</f>
        <v>0</v>
      </c>
      <c r="M121" s="234">
        <f t="shared" ref="M121" si="43">SUM(M117:M120)</f>
        <v>0</v>
      </c>
      <c r="N121" s="234">
        <f t="shared" ref="N121" si="44">SUM(N117:N120)</f>
        <v>0</v>
      </c>
      <c r="O121" s="234">
        <f t="shared" ref="O121" si="45">SUM(O117:O120)</f>
        <v>0</v>
      </c>
    </row>
    <row r="122" spans="1:17" ht="15" hidden="1" customHeight="1" thickTop="1">
      <c r="C122" s="81">
        <v>119</v>
      </c>
      <c r="D122" s="235"/>
      <c r="E122" s="235"/>
      <c r="F122" s="235"/>
      <c r="G122" s="235"/>
      <c r="H122" s="235"/>
      <c r="I122" s="235"/>
      <c r="J122" s="235"/>
      <c r="K122" s="235"/>
      <c r="L122" s="235"/>
      <c r="M122" s="235"/>
      <c r="N122" s="235"/>
      <c r="O122" s="235"/>
    </row>
    <row r="123" spans="1:17" ht="15" hidden="1" customHeight="1">
      <c r="A123" s="94" t="s">
        <v>114</v>
      </c>
      <c r="C123" s="81">
        <v>120</v>
      </c>
      <c r="D123" s="235">
        <f>SUM(D118:D119)</f>
        <v>200</v>
      </c>
      <c r="E123" s="235">
        <f t="shared" ref="E123:O123" si="46">SUM(E118:E119)</f>
        <v>170</v>
      </c>
      <c r="F123" s="235">
        <f t="shared" si="46"/>
        <v>78</v>
      </c>
      <c r="G123" s="235">
        <f t="shared" si="46"/>
        <v>200</v>
      </c>
      <c r="H123" s="235">
        <f t="shared" si="46"/>
        <v>100</v>
      </c>
      <c r="I123" s="235">
        <f t="shared" si="46"/>
        <v>0</v>
      </c>
      <c r="J123" s="235">
        <f t="shared" si="46"/>
        <v>0</v>
      </c>
      <c r="K123" s="235">
        <f t="shared" si="46"/>
        <v>0</v>
      </c>
      <c r="L123" s="235">
        <f t="shared" si="46"/>
        <v>0</v>
      </c>
      <c r="M123" s="235">
        <f t="shared" si="46"/>
        <v>0</v>
      </c>
      <c r="N123" s="235">
        <f t="shared" si="46"/>
        <v>0</v>
      </c>
      <c r="O123" s="235">
        <f t="shared" si="46"/>
        <v>0</v>
      </c>
    </row>
    <row r="124" spans="1:17" ht="15" hidden="1" customHeight="1">
      <c r="A124" s="94"/>
      <c r="C124" s="81">
        <v>121</v>
      </c>
      <c r="D124" s="240">
        <f>IF(D123&gt;0,(D123/D121),0)</f>
        <v>0.16666666666666666</v>
      </c>
      <c r="E124" s="240">
        <f t="shared" ref="E124:O124" si="47">IF(E123&gt;0,(E123/E121),0)</f>
        <v>0.14529914529914531</v>
      </c>
      <c r="F124" s="240">
        <f t="shared" si="47"/>
        <v>7.9754601226993863E-2</v>
      </c>
      <c r="G124" s="240">
        <f t="shared" si="47"/>
        <v>0.19047619047619047</v>
      </c>
      <c r="H124" s="240">
        <f t="shared" si="47"/>
        <v>8.3333333333333329E-2</v>
      </c>
      <c r="I124" s="240">
        <f t="shared" si="47"/>
        <v>0</v>
      </c>
      <c r="J124" s="240">
        <f t="shared" si="47"/>
        <v>0</v>
      </c>
      <c r="K124" s="240">
        <f t="shared" si="47"/>
        <v>0</v>
      </c>
      <c r="L124" s="240">
        <f t="shared" si="47"/>
        <v>0</v>
      </c>
      <c r="M124" s="240">
        <f t="shared" si="47"/>
        <v>0</v>
      </c>
      <c r="N124" s="240">
        <f t="shared" si="47"/>
        <v>0</v>
      </c>
      <c r="O124" s="240">
        <f t="shared" si="47"/>
        <v>0</v>
      </c>
    </row>
    <row r="125" spans="1:17" ht="15" customHeight="1" thickTop="1">
      <c r="D125" s="236" t="str">
        <f t="shared" ref="D125:O125" si="48">IF(D121=D66,"","Check Total")</f>
        <v/>
      </c>
      <c r="E125" s="236" t="str">
        <f t="shared" si="48"/>
        <v/>
      </c>
      <c r="F125" s="236" t="str">
        <f t="shared" si="48"/>
        <v/>
      </c>
      <c r="G125" s="236" t="str">
        <f t="shared" si="48"/>
        <v/>
      </c>
      <c r="H125" s="236" t="str">
        <f t="shared" si="48"/>
        <v/>
      </c>
      <c r="I125" s="236" t="str">
        <f t="shared" si="48"/>
        <v/>
      </c>
      <c r="J125" s="236" t="str">
        <f t="shared" si="48"/>
        <v/>
      </c>
      <c r="K125" s="236" t="str">
        <f t="shared" si="48"/>
        <v/>
      </c>
      <c r="L125" s="236" t="str">
        <f t="shared" si="48"/>
        <v/>
      </c>
      <c r="M125" s="236" t="str">
        <f t="shared" si="48"/>
        <v/>
      </c>
      <c r="N125" s="236" t="str">
        <f t="shared" si="48"/>
        <v/>
      </c>
      <c r="O125" s="236" t="str">
        <f t="shared" si="48"/>
        <v/>
      </c>
    </row>
    <row r="126" spans="1:17" ht="15" customHeight="1">
      <c r="D126" s="77"/>
      <c r="E126" s="77"/>
      <c r="F126" s="77"/>
      <c r="G126" s="77"/>
      <c r="H126" s="77"/>
      <c r="I126" s="77"/>
      <c r="J126" s="77"/>
      <c r="K126" s="77"/>
      <c r="L126" s="77"/>
      <c r="M126" s="77"/>
      <c r="N126" s="77"/>
      <c r="O126" s="77"/>
    </row>
    <row r="127" spans="1:17" ht="15" customHeight="1">
      <c r="A127" s="73" t="s">
        <v>39</v>
      </c>
      <c r="B127" s="73"/>
      <c r="C127" s="81">
        <v>1</v>
      </c>
      <c r="D127" s="75">
        <f>D4</f>
        <v>41851</v>
      </c>
      <c r="E127" s="75">
        <f t="shared" ref="E127:O127" si="49">EOMONTH(D127,1)</f>
        <v>41882</v>
      </c>
      <c r="F127" s="75">
        <f t="shared" si="49"/>
        <v>41912</v>
      </c>
      <c r="G127" s="75">
        <f t="shared" si="49"/>
        <v>41943</v>
      </c>
      <c r="H127" s="75">
        <f t="shared" si="49"/>
        <v>41973</v>
      </c>
      <c r="I127" s="75">
        <f t="shared" si="49"/>
        <v>42004</v>
      </c>
      <c r="J127" s="75">
        <f t="shared" si="49"/>
        <v>42035</v>
      </c>
      <c r="K127" s="75">
        <f t="shared" si="49"/>
        <v>42063</v>
      </c>
      <c r="L127" s="75">
        <f t="shared" si="49"/>
        <v>42094</v>
      </c>
      <c r="M127" s="75">
        <f t="shared" si="49"/>
        <v>42124</v>
      </c>
      <c r="N127" s="75">
        <f t="shared" si="49"/>
        <v>42155</v>
      </c>
      <c r="O127" s="75">
        <f t="shared" si="49"/>
        <v>42185</v>
      </c>
      <c r="Q127" s="120" t="s">
        <v>3</v>
      </c>
    </row>
    <row r="128" spans="1:17" ht="15" customHeight="1">
      <c r="A128" s="73"/>
      <c r="B128" s="73"/>
      <c r="C128" s="81">
        <v>2</v>
      </c>
      <c r="D128" s="75"/>
      <c r="E128" s="75"/>
      <c r="F128" s="75"/>
      <c r="G128" s="75"/>
      <c r="H128" s="75"/>
      <c r="I128" s="75"/>
      <c r="J128" s="75"/>
      <c r="K128" s="75"/>
      <c r="L128" s="75"/>
      <c r="M128" s="75"/>
      <c r="N128" s="75"/>
      <c r="O128" s="75"/>
    </row>
    <row r="129" spans="1:17" ht="15" customHeight="1">
      <c r="A129" s="73" t="s">
        <v>102</v>
      </c>
      <c r="C129" s="81">
        <v>3</v>
      </c>
      <c r="D129" s="91"/>
      <c r="E129" s="91"/>
      <c r="F129" s="91"/>
      <c r="G129" s="91"/>
      <c r="H129" s="91"/>
      <c r="I129" s="91"/>
      <c r="J129" s="91"/>
      <c r="K129" s="91"/>
      <c r="L129" s="91"/>
      <c r="M129" s="91"/>
      <c r="N129" s="91"/>
      <c r="O129" s="91"/>
    </row>
    <row r="130" spans="1:17" ht="15" customHeight="1">
      <c r="A130" t="str">
        <f t="shared" ref="A130:A141" si="50">A8</f>
        <v>Membership Fees</v>
      </c>
      <c r="C130" s="81">
        <v>4</v>
      </c>
      <c r="D130" s="76">
        <v>100</v>
      </c>
      <c r="E130" s="76">
        <v>100</v>
      </c>
      <c r="F130" s="76">
        <v>100</v>
      </c>
      <c r="G130" s="76">
        <v>100</v>
      </c>
      <c r="H130" s="76">
        <v>100</v>
      </c>
      <c r="I130" s="76">
        <v>100</v>
      </c>
      <c r="J130" s="76">
        <v>100</v>
      </c>
      <c r="K130" s="76">
        <v>100</v>
      </c>
      <c r="L130" s="76">
        <v>100</v>
      </c>
      <c r="M130" s="76">
        <v>100</v>
      </c>
      <c r="N130" s="76">
        <v>100</v>
      </c>
      <c r="O130" s="76">
        <v>100</v>
      </c>
      <c r="Q130" s="77">
        <f>SUM(D130:O130)</f>
        <v>1200</v>
      </c>
    </row>
    <row r="131" spans="1:17" ht="15" customHeight="1">
      <c r="A131" t="str">
        <f t="shared" si="50"/>
        <v>Sponsorship Income (Secured)</v>
      </c>
      <c r="C131" s="81">
        <v>5</v>
      </c>
      <c r="D131" s="76">
        <v>100</v>
      </c>
      <c r="E131" s="76">
        <v>100</v>
      </c>
      <c r="F131" s="76">
        <v>100</v>
      </c>
      <c r="G131" s="76">
        <v>100</v>
      </c>
      <c r="H131" s="76">
        <v>100</v>
      </c>
      <c r="I131" s="76">
        <v>100</v>
      </c>
      <c r="J131" s="76">
        <v>100</v>
      </c>
      <c r="K131" s="76">
        <v>100</v>
      </c>
      <c r="L131" s="76">
        <v>100</v>
      </c>
      <c r="M131" s="76">
        <v>100</v>
      </c>
      <c r="N131" s="76">
        <v>100</v>
      </c>
      <c r="O131" s="76">
        <v>100</v>
      </c>
      <c r="Q131" s="77">
        <f t="shared" ref="Q131:Q144" si="51">SUM(D131:O131)</f>
        <v>1200</v>
      </c>
    </row>
    <row r="132" spans="1:17" ht="15" customHeight="1">
      <c r="A132" t="str">
        <f t="shared" si="50"/>
        <v>Sponsorship Income (Unsecured)</v>
      </c>
      <c r="C132" s="81">
        <v>6</v>
      </c>
      <c r="D132" s="76">
        <v>100</v>
      </c>
      <c r="E132" s="76">
        <v>100</v>
      </c>
      <c r="F132" s="76">
        <v>100</v>
      </c>
      <c r="G132" s="76">
        <v>100</v>
      </c>
      <c r="H132" s="76">
        <v>100</v>
      </c>
      <c r="I132" s="76">
        <v>100</v>
      </c>
      <c r="J132" s="76">
        <v>100</v>
      </c>
      <c r="K132" s="76">
        <v>100</v>
      </c>
      <c r="L132" s="76">
        <v>100</v>
      </c>
      <c r="M132" s="76">
        <v>100</v>
      </c>
      <c r="N132" s="76">
        <v>100</v>
      </c>
      <c r="O132" s="76">
        <v>100</v>
      </c>
      <c r="Q132" s="77">
        <f t="shared" si="51"/>
        <v>1200</v>
      </c>
    </row>
    <row r="133" spans="1:17" ht="15" customHeight="1">
      <c r="A133" t="str">
        <f t="shared" si="50"/>
        <v>Grants (Secured)</v>
      </c>
      <c r="C133" s="81">
        <v>7</v>
      </c>
      <c r="D133" s="76">
        <v>827</v>
      </c>
      <c r="E133" s="76">
        <v>950</v>
      </c>
      <c r="F133" s="76">
        <v>776</v>
      </c>
      <c r="G133" s="76">
        <v>800</v>
      </c>
      <c r="H133" s="76">
        <v>800</v>
      </c>
      <c r="I133" s="76">
        <v>1000</v>
      </c>
      <c r="J133" s="76">
        <v>850</v>
      </c>
      <c r="K133" s="76">
        <v>800</v>
      </c>
      <c r="L133" s="76">
        <v>800</v>
      </c>
      <c r="M133" s="76">
        <v>800</v>
      </c>
      <c r="N133" s="76">
        <v>800</v>
      </c>
      <c r="O133" s="76">
        <v>800</v>
      </c>
      <c r="Q133" s="77">
        <f t="shared" si="51"/>
        <v>10003</v>
      </c>
    </row>
    <row r="134" spans="1:17" ht="15" customHeight="1">
      <c r="A134" t="str">
        <f t="shared" si="50"/>
        <v>Grants (Unsecured)</v>
      </c>
      <c r="C134" s="81">
        <v>8</v>
      </c>
      <c r="D134" s="76">
        <v>100</v>
      </c>
      <c r="E134" s="76">
        <v>100</v>
      </c>
      <c r="F134" s="76">
        <v>100</v>
      </c>
      <c r="G134" s="76">
        <v>100</v>
      </c>
      <c r="H134" s="76">
        <v>100</v>
      </c>
      <c r="I134" s="76">
        <v>100</v>
      </c>
      <c r="J134" s="76">
        <v>100</v>
      </c>
      <c r="K134" s="76">
        <v>100</v>
      </c>
      <c r="L134" s="76">
        <v>100</v>
      </c>
      <c r="M134" s="76">
        <v>100</v>
      </c>
      <c r="N134" s="76">
        <v>100</v>
      </c>
      <c r="O134" s="76">
        <v>100</v>
      </c>
      <c r="Q134" s="77">
        <f t="shared" si="51"/>
        <v>1200</v>
      </c>
    </row>
    <row r="135" spans="1:17" ht="15" customHeight="1">
      <c r="A135" t="str">
        <f t="shared" si="50"/>
        <v>Event Income</v>
      </c>
      <c r="C135" s="81">
        <v>9</v>
      </c>
      <c r="D135" s="76">
        <v>100</v>
      </c>
      <c r="E135" s="76">
        <v>100</v>
      </c>
      <c r="F135" s="76">
        <v>100</v>
      </c>
      <c r="G135" s="76">
        <v>100</v>
      </c>
      <c r="H135" s="76">
        <v>100</v>
      </c>
      <c r="I135" s="76">
        <v>100</v>
      </c>
      <c r="J135" s="76">
        <v>100</v>
      </c>
      <c r="K135" s="76">
        <v>100</v>
      </c>
      <c r="L135" s="76">
        <v>100</v>
      </c>
      <c r="M135" s="76">
        <v>100</v>
      </c>
      <c r="N135" s="76">
        <v>100</v>
      </c>
      <c r="O135" s="76">
        <v>100</v>
      </c>
      <c r="Q135" s="77">
        <f t="shared" si="51"/>
        <v>1200</v>
      </c>
    </row>
    <row r="136" spans="1:17" ht="15" customHeight="1">
      <c r="A136" t="str">
        <f t="shared" si="50"/>
        <v>Other Income</v>
      </c>
      <c r="C136" s="81">
        <v>10</v>
      </c>
      <c r="D136" s="76">
        <v>100</v>
      </c>
      <c r="E136" s="76">
        <v>100</v>
      </c>
      <c r="F136" s="76">
        <v>100</v>
      </c>
      <c r="G136" s="76">
        <v>100</v>
      </c>
      <c r="H136" s="76">
        <v>100</v>
      </c>
      <c r="I136" s="76">
        <v>100</v>
      </c>
      <c r="J136" s="76">
        <v>100</v>
      </c>
      <c r="K136" s="76">
        <v>100</v>
      </c>
      <c r="L136" s="76">
        <v>100</v>
      </c>
      <c r="M136" s="76">
        <v>100</v>
      </c>
      <c r="N136" s="76">
        <v>100</v>
      </c>
      <c r="O136" s="76">
        <v>100</v>
      </c>
      <c r="Q136" s="77">
        <f t="shared" si="51"/>
        <v>1200</v>
      </c>
    </row>
    <row r="137" spans="1:17" ht="15" customHeight="1">
      <c r="A137" t="str">
        <f t="shared" si="50"/>
        <v>Other Income</v>
      </c>
      <c r="C137" s="81">
        <v>11</v>
      </c>
      <c r="D137" s="76">
        <v>100</v>
      </c>
      <c r="E137" s="76">
        <v>100</v>
      </c>
      <c r="F137" s="76">
        <v>100</v>
      </c>
      <c r="G137" s="76">
        <v>100</v>
      </c>
      <c r="H137" s="76">
        <v>100</v>
      </c>
      <c r="I137" s="76">
        <v>100</v>
      </c>
      <c r="J137" s="76">
        <v>100</v>
      </c>
      <c r="K137" s="76">
        <v>100</v>
      </c>
      <c r="L137" s="76">
        <v>100</v>
      </c>
      <c r="M137" s="76">
        <v>100</v>
      </c>
      <c r="N137" s="76">
        <v>100</v>
      </c>
      <c r="O137" s="76">
        <v>100</v>
      </c>
      <c r="Q137" s="77">
        <f t="shared" si="51"/>
        <v>1200</v>
      </c>
    </row>
    <row r="138" spans="1:17" ht="15" customHeight="1">
      <c r="A138" t="str">
        <f t="shared" si="50"/>
        <v>Other Income</v>
      </c>
      <c r="C138" s="81">
        <v>12</v>
      </c>
      <c r="D138" s="76">
        <v>0</v>
      </c>
      <c r="E138" s="76">
        <v>0</v>
      </c>
      <c r="F138" s="76">
        <v>0</v>
      </c>
      <c r="G138" s="76">
        <v>0</v>
      </c>
      <c r="H138" s="76">
        <v>0</v>
      </c>
      <c r="I138" s="76">
        <v>0</v>
      </c>
      <c r="J138" s="76">
        <v>0</v>
      </c>
      <c r="K138" s="76">
        <v>0</v>
      </c>
      <c r="L138" s="76">
        <v>0</v>
      </c>
      <c r="M138" s="76">
        <v>0</v>
      </c>
      <c r="N138" s="76">
        <v>0</v>
      </c>
      <c r="O138" s="76">
        <v>0</v>
      </c>
      <c r="Q138" s="77">
        <f t="shared" si="51"/>
        <v>0</v>
      </c>
    </row>
    <row r="139" spans="1:17" ht="15" customHeight="1">
      <c r="A139" t="str">
        <f t="shared" si="50"/>
        <v>Other Income</v>
      </c>
      <c r="C139" s="81">
        <v>13</v>
      </c>
      <c r="D139" s="76">
        <v>0</v>
      </c>
      <c r="E139" s="76">
        <v>0</v>
      </c>
      <c r="F139" s="76">
        <v>0</v>
      </c>
      <c r="G139" s="76">
        <v>0</v>
      </c>
      <c r="H139" s="76">
        <v>0</v>
      </c>
      <c r="I139" s="76">
        <v>0</v>
      </c>
      <c r="J139" s="76">
        <v>0</v>
      </c>
      <c r="K139" s="76">
        <v>0</v>
      </c>
      <c r="L139" s="76">
        <v>0</v>
      </c>
      <c r="M139" s="76">
        <v>0</v>
      </c>
      <c r="N139" s="76">
        <v>0</v>
      </c>
      <c r="O139" s="76">
        <v>0</v>
      </c>
      <c r="Q139" s="77">
        <f t="shared" si="51"/>
        <v>0</v>
      </c>
    </row>
    <row r="140" spans="1:17" ht="15" customHeight="1">
      <c r="A140" t="str">
        <f t="shared" si="50"/>
        <v>Other Income</v>
      </c>
      <c r="C140" s="81">
        <v>14</v>
      </c>
      <c r="D140" s="76">
        <v>0</v>
      </c>
      <c r="E140" s="76">
        <v>0</v>
      </c>
      <c r="F140" s="76">
        <v>0</v>
      </c>
      <c r="G140" s="76">
        <v>0</v>
      </c>
      <c r="H140" s="76">
        <v>0</v>
      </c>
      <c r="I140" s="76">
        <v>0</v>
      </c>
      <c r="J140" s="76">
        <v>0</v>
      </c>
      <c r="K140" s="76">
        <v>0</v>
      </c>
      <c r="L140" s="76">
        <v>0</v>
      </c>
      <c r="M140" s="76">
        <v>0</v>
      </c>
      <c r="N140" s="76">
        <v>0</v>
      </c>
      <c r="O140" s="76">
        <v>0</v>
      </c>
      <c r="Q140" s="77">
        <f t="shared" si="51"/>
        <v>0</v>
      </c>
    </row>
    <row r="141" spans="1:17" ht="15" customHeight="1">
      <c r="A141" t="str">
        <f t="shared" si="50"/>
        <v>Other Income</v>
      </c>
      <c r="C141" s="81">
        <v>15</v>
      </c>
      <c r="D141" s="76">
        <v>0</v>
      </c>
      <c r="E141" s="76">
        <v>0</v>
      </c>
      <c r="F141" s="76">
        <v>0</v>
      </c>
      <c r="G141" s="76">
        <v>0</v>
      </c>
      <c r="H141" s="76">
        <v>0</v>
      </c>
      <c r="I141" s="76">
        <v>0</v>
      </c>
      <c r="J141" s="76">
        <v>0</v>
      </c>
      <c r="K141" s="76">
        <v>0</v>
      </c>
      <c r="L141" s="76">
        <v>0</v>
      </c>
      <c r="M141" s="76">
        <v>0</v>
      </c>
      <c r="N141" s="76">
        <v>0</v>
      </c>
      <c r="O141" s="76">
        <v>0</v>
      </c>
      <c r="Q141" s="77">
        <f t="shared" si="51"/>
        <v>0</v>
      </c>
    </row>
    <row r="142" spans="1:17" ht="15" customHeight="1">
      <c r="A142" t="str">
        <f>A19</f>
        <v>Other Income</v>
      </c>
      <c r="C142" s="81">
        <v>16</v>
      </c>
      <c r="D142" s="76">
        <v>0</v>
      </c>
      <c r="E142" s="76">
        <v>0</v>
      </c>
      <c r="F142" s="76">
        <v>0</v>
      </c>
      <c r="G142" s="76">
        <v>0</v>
      </c>
      <c r="H142" s="76">
        <v>0</v>
      </c>
      <c r="I142" s="76">
        <v>0</v>
      </c>
      <c r="J142" s="76">
        <v>0</v>
      </c>
      <c r="K142" s="76">
        <v>0</v>
      </c>
      <c r="L142" s="76">
        <v>0</v>
      </c>
      <c r="M142" s="76">
        <v>0</v>
      </c>
      <c r="N142" s="76">
        <v>0</v>
      </c>
      <c r="O142" s="76">
        <v>0</v>
      </c>
      <c r="Q142" s="77">
        <f t="shared" si="51"/>
        <v>0</v>
      </c>
    </row>
    <row r="143" spans="1:17" ht="15" customHeight="1">
      <c r="A143" t="str">
        <f>A20</f>
        <v>Other Income</v>
      </c>
      <c r="C143" s="81">
        <v>17</v>
      </c>
      <c r="D143" s="76">
        <v>0</v>
      </c>
      <c r="E143" s="76">
        <v>0</v>
      </c>
      <c r="F143" s="76">
        <v>0</v>
      </c>
      <c r="G143" s="76">
        <v>0</v>
      </c>
      <c r="H143" s="76">
        <v>0</v>
      </c>
      <c r="I143" s="76">
        <v>0</v>
      </c>
      <c r="J143" s="76">
        <v>0</v>
      </c>
      <c r="K143" s="76">
        <v>0</v>
      </c>
      <c r="L143" s="76">
        <v>0</v>
      </c>
      <c r="M143" s="76">
        <v>0</v>
      </c>
      <c r="N143" s="76">
        <v>0</v>
      </c>
      <c r="O143" s="76">
        <v>0</v>
      </c>
      <c r="Q143" s="77">
        <f t="shared" si="51"/>
        <v>0</v>
      </c>
    </row>
    <row r="144" spans="1:17" ht="15" customHeight="1">
      <c r="A144" t="str">
        <f>A21</f>
        <v>Other Income</v>
      </c>
      <c r="C144" s="81">
        <v>18</v>
      </c>
      <c r="D144" s="76">
        <v>0</v>
      </c>
      <c r="E144" s="76">
        <v>0</v>
      </c>
      <c r="F144" s="76">
        <v>0</v>
      </c>
      <c r="G144" s="76">
        <v>0</v>
      </c>
      <c r="H144" s="76">
        <v>0</v>
      </c>
      <c r="I144" s="76">
        <v>0</v>
      </c>
      <c r="J144" s="76">
        <v>0</v>
      </c>
      <c r="K144" s="76">
        <v>0</v>
      </c>
      <c r="L144" s="76">
        <v>0</v>
      </c>
      <c r="M144" s="76">
        <v>0</v>
      </c>
      <c r="N144" s="76">
        <v>0</v>
      </c>
      <c r="O144" s="76">
        <v>0</v>
      </c>
      <c r="Q144" s="77">
        <f t="shared" si="51"/>
        <v>0</v>
      </c>
    </row>
    <row r="145" spans="1:17" ht="15" customHeight="1" thickBot="1">
      <c r="A145" s="73" t="s">
        <v>72</v>
      </c>
      <c r="C145" s="81">
        <v>19</v>
      </c>
      <c r="D145" s="78">
        <f t="shared" ref="D145:O145" si="52">SUM(D130:D144)</f>
        <v>1527</v>
      </c>
      <c r="E145" s="78">
        <f t="shared" si="52"/>
        <v>1650</v>
      </c>
      <c r="F145" s="78">
        <f t="shared" si="52"/>
        <v>1476</v>
      </c>
      <c r="G145" s="78">
        <f t="shared" si="52"/>
        <v>1500</v>
      </c>
      <c r="H145" s="78">
        <f t="shared" si="52"/>
        <v>1500</v>
      </c>
      <c r="I145" s="78">
        <f t="shared" si="52"/>
        <v>1700</v>
      </c>
      <c r="J145" s="78">
        <f t="shared" si="52"/>
        <v>1550</v>
      </c>
      <c r="K145" s="78">
        <f t="shared" si="52"/>
        <v>1500</v>
      </c>
      <c r="L145" s="78">
        <f t="shared" si="52"/>
        <v>1500</v>
      </c>
      <c r="M145" s="78">
        <f t="shared" si="52"/>
        <v>1500</v>
      </c>
      <c r="N145" s="78">
        <f t="shared" si="52"/>
        <v>1500</v>
      </c>
      <c r="O145" s="78">
        <f t="shared" si="52"/>
        <v>1500</v>
      </c>
      <c r="Q145" s="78">
        <f>SUM(Q130:Q144)</f>
        <v>18403</v>
      </c>
    </row>
    <row r="146" spans="1:17" ht="15" hidden="1" customHeight="1">
      <c r="C146" s="81">
        <v>20</v>
      </c>
      <c r="D146" s="77"/>
      <c r="E146" s="77"/>
      <c r="F146" s="77"/>
      <c r="G146" s="77"/>
      <c r="H146" s="77"/>
      <c r="I146" s="77"/>
      <c r="J146" s="77"/>
      <c r="K146" s="77"/>
      <c r="L146" s="77"/>
      <c r="M146" s="77"/>
      <c r="N146" s="77"/>
      <c r="O146" s="77"/>
    </row>
    <row r="147" spans="1:17" ht="15" hidden="1" customHeight="1">
      <c r="A147" s="94" t="s">
        <v>141</v>
      </c>
      <c r="C147" s="81">
        <v>21</v>
      </c>
      <c r="D147" s="77">
        <f>D132+D134</f>
        <v>200</v>
      </c>
      <c r="E147" s="77">
        <f t="shared" ref="E147:O147" si="53">E132+E134</f>
        <v>200</v>
      </c>
      <c r="F147" s="77">
        <f t="shared" si="53"/>
        <v>200</v>
      </c>
      <c r="G147" s="77">
        <f t="shared" si="53"/>
        <v>200</v>
      </c>
      <c r="H147" s="77">
        <f t="shared" si="53"/>
        <v>200</v>
      </c>
      <c r="I147" s="77">
        <f t="shared" si="53"/>
        <v>200</v>
      </c>
      <c r="J147" s="77">
        <f t="shared" si="53"/>
        <v>200</v>
      </c>
      <c r="K147" s="77">
        <f t="shared" si="53"/>
        <v>200</v>
      </c>
      <c r="L147" s="77">
        <f t="shared" si="53"/>
        <v>200</v>
      </c>
      <c r="M147" s="77">
        <f t="shared" si="53"/>
        <v>200</v>
      </c>
      <c r="N147" s="77">
        <f t="shared" si="53"/>
        <v>200</v>
      </c>
      <c r="O147" s="77">
        <f t="shared" si="53"/>
        <v>200</v>
      </c>
    </row>
    <row r="148" spans="1:17" ht="15" customHeight="1">
      <c r="C148" s="81">
        <v>22</v>
      </c>
      <c r="D148" s="77"/>
      <c r="E148" s="77"/>
      <c r="F148" s="77"/>
      <c r="G148" s="77"/>
      <c r="H148" s="77"/>
      <c r="I148" s="77"/>
      <c r="J148" s="77"/>
      <c r="K148" s="77"/>
      <c r="L148" s="77"/>
      <c r="M148" s="77"/>
      <c r="N148" s="77"/>
      <c r="O148" s="77"/>
    </row>
    <row r="149" spans="1:17" s="73" customFormat="1" ht="15" customHeight="1">
      <c r="A149" s="73" t="s">
        <v>101</v>
      </c>
      <c r="C149" s="81">
        <v>23</v>
      </c>
      <c r="D149" s="80"/>
      <c r="E149" s="80"/>
      <c r="F149" s="80"/>
      <c r="G149" s="80"/>
      <c r="H149" s="80"/>
      <c r="I149" s="80"/>
      <c r="J149" s="80"/>
      <c r="K149" s="80"/>
      <c r="L149" s="80"/>
      <c r="M149" s="80"/>
      <c r="N149" s="80"/>
      <c r="O149" s="80"/>
    </row>
    <row r="150" spans="1:17" ht="15" customHeight="1">
      <c r="A150" s="94" t="str">
        <f t="shared" ref="A150:A170" si="54">A27</f>
        <v>Administration Costs</v>
      </c>
      <c r="C150" s="81">
        <v>24</v>
      </c>
      <c r="D150" s="76">
        <v>200</v>
      </c>
      <c r="E150" s="76">
        <v>200</v>
      </c>
      <c r="F150" s="76">
        <v>200</v>
      </c>
      <c r="G150" s="76">
        <v>200</v>
      </c>
      <c r="H150" s="76">
        <v>200</v>
      </c>
      <c r="I150" s="76">
        <v>200</v>
      </c>
      <c r="J150" s="76">
        <v>200</v>
      </c>
      <c r="K150" s="76">
        <v>200</v>
      </c>
      <c r="L150" s="76">
        <v>200</v>
      </c>
      <c r="M150" s="76">
        <v>200</v>
      </c>
      <c r="N150" s="76">
        <v>200</v>
      </c>
      <c r="O150" s="76">
        <v>200</v>
      </c>
      <c r="Q150" s="77">
        <f>SUM(D150:O150)</f>
        <v>2400</v>
      </c>
    </row>
    <row r="151" spans="1:17" ht="15" customHeight="1">
      <c r="A151" s="94" t="str">
        <f t="shared" si="54"/>
        <v>Advocacy</v>
      </c>
      <c r="C151" s="81">
        <v>25</v>
      </c>
      <c r="D151" s="76">
        <v>100</v>
      </c>
      <c r="E151" s="76">
        <v>100</v>
      </c>
      <c r="F151" s="76">
        <v>100</v>
      </c>
      <c r="G151" s="76">
        <v>100</v>
      </c>
      <c r="H151" s="76">
        <v>100</v>
      </c>
      <c r="I151" s="76">
        <v>100</v>
      </c>
      <c r="J151" s="76">
        <v>100</v>
      </c>
      <c r="K151" s="76">
        <v>100</v>
      </c>
      <c r="L151" s="76">
        <v>100</v>
      </c>
      <c r="M151" s="76">
        <v>100</v>
      </c>
      <c r="N151" s="76">
        <v>100</v>
      </c>
      <c r="O151" s="76">
        <v>100</v>
      </c>
      <c r="Q151" s="77">
        <f t="shared" ref="Q151:Q170" si="55">SUM(D151:O151)</f>
        <v>1200</v>
      </c>
    </row>
    <row r="152" spans="1:17" ht="15" customHeight="1">
      <c r="A152" s="94" t="str">
        <f t="shared" si="54"/>
        <v>Audit Fees</v>
      </c>
      <c r="C152" s="81">
        <v>26</v>
      </c>
      <c r="D152" s="76">
        <v>3</v>
      </c>
      <c r="E152" s="76">
        <v>3</v>
      </c>
      <c r="F152" s="76">
        <v>3</v>
      </c>
      <c r="G152" s="76">
        <v>3</v>
      </c>
      <c r="H152" s="76">
        <v>3</v>
      </c>
      <c r="I152" s="76">
        <v>3</v>
      </c>
      <c r="J152" s="76">
        <v>3</v>
      </c>
      <c r="K152" s="76">
        <v>3</v>
      </c>
      <c r="L152" s="76">
        <v>3</v>
      </c>
      <c r="M152" s="76">
        <v>3</v>
      </c>
      <c r="N152" s="76">
        <v>3</v>
      </c>
      <c r="O152" s="76">
        <v>3</v>
      </c>
      <c r="Q152" s="77">
        <f t="shared" si="55"/>
        <v>36</v>
      </c>
    </row>
    <row r="153" spans="1:17" ht="15" customHeight="1">
      <c r="A153" s="94" t="str">
        <f t="shared" si="54"/>
        <v>Depreciation</v>
      </c>
      <c r="C153" s="81">
        <v>27</v>
      </c>
      <c r="D153" s="76">
        <v>200</v>
      </c>
      <c r="E153" s="76">
        <v>200</v>
      </c>
      <c r="F153" s="76">
        <v>200</v>
      </c>
      <c r="G153" s="76">
        <v>200</v>
      </c>
      <c r="H153" s="76">
        <v>200</v>
      </c>
      <c r="I153" s="76">
        <v>200</v>
      </c>
      <c r="J153" s="76">
        <v>200</v>
      </c>
      <c r="K153" s="76">
        <v>200</v>
      </c>
      <c r="L153" s="76">
        <v>200</v>
      </c>
      <c r="M153" s="76">
        <v>200</v>
      </c>
      <c r="N153" s="76">
        <v>200</v>
      </c>
      <c r="O153" s="76">
        <v>200</v>
      </c>
      <c r="Q153" s="77">
        <f t="shared" si="55"/>
        <v>2400</v>
      </c>
    </row>
    <row r="154" spans="1:17" ht="15" customHeight="1">
      <c r="A154" s="94" t="str">
        <f t="shared" si="54"/>
        <v>Interest Charges</v>
      </c>
      <c r="C154" s="81">
        <v>28</v>
      </c>
      <c r="D154" s="76">
        <v>200</v>
      </c>
      <c r="E154" s="76">
        <v>200</v>
      </c>
      <c r="F154" s="76">
        <v>200</v>
      </c>
      <c r="G154" s="76">
        <v>200</v>
      </c>
      <c r="H154" s="76">
        <v>200</v>
      </c>
      <c r="I154" s="76">
        <v>200</v>
      </c>
      <c r="J154" s="76">
        <v>200</v>
      </c>
      <c r="K154" s="76">
        <v>200</v>
      </c>
      <c r="L154" s="76">
        <v>200</v>
      </c>
      <c r="M154" s="76">
        <v>200</v>
      </c>
      <c r="N154" s="76">
        <v>200</v>
      </c>
      <c r="O154" s="76">
        <v>200</v>
      </c>
      <c r="Q154" s="77">
        <f t="shared" si="55"/>
        <v>2400</v>
      </c>
    </row>
    <row r="155" spans="1:17" ht="15" customHeight="1">
      <c r="A155" s="94" t="str">
        <f t="shared" si="54"/>
        <v>Programs and Training Courses</v>
      </c>
      <c r="C155" s="81">
        <v>29</v>
      </c>
      <c r="D155" s="76">
        <v>200</v>
      </c>
      <c r="E155" s="76">
        <v>200</v>
      </c>
      <c r="F155" s="76">
        <v>200</v>
      </c>
      <c r="G155" s="76">
        <v>200</v>
      </c>
      <c r="H155" s="76">
        <v>200</v>
      </c>
      <c r="I155" s="76">
        <v>200</v>
      </c>
      <c r="J155" s="76">
        <v>200</v>
      </c>
      <c r="K155" s="76">
        <v>200</v>
      </c>
      <c r="L155" s="76">
        <v>200</v>
      </c>
      <c r="M155" s="76">
        <v>200</v>
      </c>
      <c r="N155" s="76">
        <v>200</v>
      </c>
      <c r="O155" s="76">
        <v>200</v>
      </c>
      <c r="Q155" s="77">
        <f t="shared" si="55"/>
        <v>2400</v>
      </c>
    </row>
    <row r="156" spans="1:17" ht="15" customHeight="1">
      <c r="A156" s="94" t="str">
        <f t="shared" si="54"/>
        <v>Talent Development</v>
      </c>
      <c r="C156" s="81">
        <v>30</v>
      </c>
      <c r="D156" s="76">
        <v>100</v>
      </c>
      <c r="E156" s="76">
        <v>100</v>
      </c>
      <c r="F156" s="76">
        <v>100</v>
      </c>
      <c r="G156" s="76">
        <v>100</v>
      </c>
      <c r="H156" s="76">
        <v>100</v>
      </c>
      <c r="I156" s="76">
        <v>100</v>
      </c>
      <c r="J156" s="76">
        <v>100</v>
      </c>
      <c r="K156" s="76">
        <v>100</v>
      </c>
      <c r="L156" s="76">
        <v>100</v>
      </c>
      <c r="M156" s="76">
        <v>100</v>
      </c>
      <c r="N156" s="76">
        <v>100</v>
      </c>
      <c r="O156" s="76">
        <v>100</v>
      </c>
      <c r="Q156" s="77">
        <f t="shared" si="55"/>
        <v>1200</v>
      </c>
    </row>
    <row r="157" spans="1:17" ht="15" customHeight="1">
      <c r="A157" s="94" t="str">
        <f t="shared" si="54"/>
        <v>Event Costs</v>
      </c>
      <c r="C157" s="81">
        <v>31</v>
      </c>
      <c r="D157" s="76">
        <v>3</v>
      </c>
      <c r="E157" s="76">
        <v>3</v>
      </c>
      <c r="F157" s="76">
        <v>3</v>
      </c>
      <c r="G157" s="76">
        <v>3</v>
      </c>
      <c r="H157" s="76">
        <v>3</v>
      </c>
      <c r="I157" s="76">
        <v>3</v>
      </c>
      <c r="J157" s="76">
        <v>3</v>
      </c>
      <c r="K157" s="76">
        <v>3</v>
      </c>
      <c r="L157" s="76">
        <v>3</v>
      </c>
      <c r="M157" s="76">
        <v>3</v>
      </c>
      <c r="N157" s="76">
        <v>3</v>
      </c>
      <c r="O157" s="76">
        <v>3</v>
      </c>
      <c r="Q157" s="77">
        <f t="shared" si="55"/>
        <v>36</v>
      </c>
    </row>
    <row r="158" spans="1:17" ht="15" customHeight="1">
      <c r="A158" s="94" t="str">
        <f t="shared" si="54"/>
        <v>Other</v>
      </c>
      <c r="C158" s="81">
        <v>32</v>
      </c>
      <c r="D158" s="76">
        <v>200</v>
      </c>
      <c r="E158" s="76">
        <v>200</v>
      </c>
      <c r="F158" s="76">
        <v>200</v>
      </c>
      <c r="G158" s="76">
        <v>200</v>
      </c>
      <c r="H158" s="76">
        <v>200</v>
      </c>
      <c r="I158" s="76">
        <v>200</v>
      </c>
      <c r="J158" s="76">
        <v>200</v>
      </c>
      <c r="K158" s="76">
        <v>200</v>
      </c>
      <c r="L158" s="76">
        <v>200</v>
      </c>
      <c r="M158" s="76">
        <v>200</v>
      </c>
      <c r="N158" s="76">
        <v>200</v>
      </c>
      <c r="O158" s="76">
        <v>200</v>
      </c>
      <c r="Q158" s="77">
        <f t="shared" si="55"/>
        <v>2400</v>
      </c>
    </row>
    <row r="159" spans="1:17" ht="15" customHeight="1">
      <c r="A159" s="94" t="str">
        <f t="shared" si="54"/>
        <v>Other</v>
      </c>
      <c r="C159" s="81">
        <v>33</v>
      </c>
      <c r="D159" s="76">
        <v>100</v>
      </c>
      <c r="E159" s="76">
        <v>100</v>
      </c>
      <c r="F159" s="76">
        <v>100</v>
      </c>
      <c r="G159" s="76">
        <v>100</v>
      </c>
      <c r="H159" s="76">
        <v>100</v>
      </c>
      <c r="I159" s="76">
        <v>100</v>
      </c>
      <c r="J159" s="76">
        <v>100</v>
      </c>
      <c r="K159" s="76">
        <v>100</v>
      </c>
      <c r="L159" s="76">
        <v>100</v>
      </c>
      <c r="M159" s="76">
        <v>100</v>
      </c>
      <c r="N159" s="76">
        <v>100</v>
      </c>
      <c r="O159" s="76">
        <v>100</v>
      </c>
      <c r="Q159" s="77">
        <f t="shared" si="55"/>
        <v>1200</v>
      </c>
    </row>
    <row r="160" spans="1:17" ht="15" customHeight="1">
      <c r="A160" s="94" t="str">
        <f t="shared" si="54"/>
        <v>Other</v>
      </c>
      <c r="C160" s="81">
        <v>34</v>
      </c>
      <c r="D160" s="76">
        <v>3</v>
      </c>
      <c r="E160" s="76">
        <v>3</v>
      </c>
      <c r="F160" s="76">
        <v>3</v>
      </c>
      <c r="G160" s="76">
        <v>3</v>
      </c>
      <c r="H160" s="76">
        <v>3</v>
      </c>
      <c r="I160" s="76">
        <v>3</v>
      </c>
      <c r="J160" s="76">
        <v>3</v>
      </c>
      <c r="K160" s="76">
        <v>3</v>
      </c>
      <c r="L160" s="76">
        <v>3</v>
      </c>
      <c r="M160" s="76">
        <v>3</v>
      </c>
      <c r="N160" s="76">
        <v>3</v>
      </c>
      <c r="O160" s="76">
        <v>3</v>
      </c>
      <c r="Q160" s="77">
        <f t="shared" si="55"/>
        <v>36</v>
      </c>
    </row>
    <row r="161" spans="1:17" ht="15" customHeight="1">
      <c r="A161" s="94" t="str">
        <f t="shared" si="54"/>
        <v>Other</v>
      </c>
      <c r="C161" s="81">
        <v>35</v>
      </c>
      <c r="D161" s="76">
        <v>6</v>
      </c>
      <c r="E161" s="76">
        <v>6</v>
      </c>
      <c r="F161" s="76">
        <v>6</v>
      </c>
      <c r="G161" s="76">
        <v>6</v>
      </c>
      <c r="H161" s="76">
        <v>6</v>
      </c>
      <c r="I161" s="76">
        <v>6</v>
      </c>
      <c r="J161" s="76">
        <v>6</v>
      </c>
      <c r="K161" s="76">
        <v>6</v>
      </c>
      <c r="L161" s="76">
        <v>6</v>
      </c>
      <c r="M161" s="76">
        <v>6</v>
      </c>
      <c r="N161" s="76">
        <v>6</v>
      </c>
      <c r="O161" s="76">
        <v>6</v>
      </c>
      <c r="Q161" s="77">
        <f t="shared" si="55"/>
        <v>72</v>
      </c>
    </row>
    <row r="162" spans="1:17" ht="15" customHeight="1">
      <c r="A162" s="94" t="str">
        <f t="shared" si="54"/>
        <v>Other</v>
      </c>
      <c r="C162" s="81">
        <v>36</v>
      </c>
      <c r="D162" s="76">
        <v>0</v>
      </c>
      <c r="E162" s="76">
        <v>0</v>
      </c>
      <c r="F162" s="76">
        <v>0</v>
      </c>
      <c r="G162" s="76">
        <v>0</v>
      </c>
      <c r="H162" s="76">
        <v>0</v>
      </c>
      <c r="I162" s="76">
        <v>0</v>
      </c>
      <c r="J162" s="76">
        <v>0</v>
      </c>
      <c r="K162" s="76">
        <v>0</v>
      </c>
      <c r="L162" s="76">
        <v>0</v>
      </c>
      <c r="M162" s="76">
        <v>0</v>
      </c>
      <c r="N162" s="76">
        <v>0</v>
      </c>
      <c r="O162" s="76">
        <v>0</v>
      </c>
      <c r="Q162" s="77">
        <f t="shared" si="55"/>
        <v>0</v>
      </c>
    </row>
    <row r="163" spans="1:17" ht="15" customHeight="1">
      <c r="A163" s="94" t="str">
        <f t="shared" si="54"/>
        <v>Other</v>
      </c>
      <c r="C163" s="81">
        <v>37</v>
      </c>
      <c r="D163" s="76">
        <v>0</v>
      </c>
      <c r="E163" s="76">
        <v>0</v>
      </c>
      <c r="F163" s="76">
        <v>0</v>
      </c>
      <c r="G163" s="76">
        <v>0</v>
      </c>
      <c r="H163" s="76">
        <v>0</v>
      </c>
      <c r="I163" s="76">
        <v>0</v>
      </c>
      <c r="J163" s="76">
        <v>0</v>
      </c>
      <c r="K163" s="76">
        <v>0</v>
      </c>
      <c r="L163" s="76">
        <v>0</v>
      </c>
      <c r="M163" s="76">
        <v>0</v>
      </c>
      <c r="N163" s="76">
        <v>0</v>
      </c>
      <c r="O163" s="76">
        <v>0</v>
      </c>
      <c r="Q163" s="77">
        <f t="shared" si="55"/>
        <v>0</v>
      </c>
    </row>
    <row r="164" spans="1:17" ht="15" customHeight="1">
      <c r="A164" s="94" t="str">
        <f t="shared" si="54"/>
        <v>Other</v>
      </c>
      <c r="C164" s="81">
        <v>38</v>
      </c>
      <c r="D164" s="76">
        <v>0</v>
      </c>
      <c r="E164" s="76">
        <v>0</v>
      </c>
      <c r="F164" s="76">
        <v>0</v>
      </c>
      <c r="G164" s="76">
        <v>0</v>
      </c>
      <c r="H164" s="76">
        <v>0</v>
      </c>
      <c r="I164" s="76">
        <v>0</v>
      </c>
      <c r="J164" s="76">
        <v>0</v>
      </c>
      <c r="K164" s="76">
        <v>0</v>
      </c>
      <c r="L164" s="76">
        <v>0</v>
      </c>
      <c r="M164" s="76">
        <v>0</v>
      </c>
      <c r="N164" s="76">
        <v>0</v>
      </c>
      <c r="O164" s="76">
        <v>0</v>
      </c>
      <c r="Q164" s="77">
        <f t="shared" si="55"/>
        <v>0</v>
      </c>
    </row>
    <row r="165" spans="1:17" ht="15" customHeight="1">
      <c r="A165" s="94" t="str">
        <f t="shared" si="54"/>
        <v>Other</v>
      </c>
      <c r="C165" s="81">
        <v>39</v>
      </c>
      <c r="D165" s="76">
        <v>0</v>
      </c>
      <c r="E165" s="76">
        <v>0</v>
      </c>
      <c r="F165" s="76">
        <v>0</v>
      </c>
      <c r="G165" s="76">
        <v>0</v>
      </c>
      <c r="H165" s="76">
        <v>0</v>
      </c>
      <c r="I165" s="76">
        <v>0</v>
      </c>
      <c r="J165" s="76">
        <v>0</v>
      </c>
      <c r="K165" s="76">
        <v>0</v>
      </c>
      <c r="L165" s="76">
        <v>0</v>
      </c>
      <c r="M165" s="76">
        <v>0</v>
      </c>
      <c r="N165" s="76">
        <v>0</v>
      </c>
      <c r="O165" s="76">
        <v>0</v>
      </c>
      <c r="Q165" s="77">
        <f t="shared" si="55"/>
        <v>0</v>
      </c>
    </row>
    <row r="166" spans="1:17" ht="15" customHeight="1">
      <c r="A166" s="94" t="str">
        <f t="shared" si="54"/>
        <v>Other</v>
      </c>
      <c r="C166" s="81">
        <v>40</v>
      </c>
      <c r="D166" s="76">
        <v>0</v>
      </c>
      <c r="E166" s="76">
        <v>0</v>
      </c>
      <c r="F166" s="76">
        <v>0</v>
      </c>
      <c r="G166" s="76">
        <v>0</v>
      </c>
      <c r="H166" s="76">
        <v>0</v>
      </c>
      <c r="I166" s="76">
        <v>0</v>
      </c>
      <c r="J166" s="76">
        <v>0</v>
      </c>
      <c r="K166" s="76">
        <v>0</v>
      </c>
      <c r="L166" s="76">
        <v>0</v>
      </c>
      <c r="M166" s="76">
        <v>0</v>
      </c>
      <c r="N166" s="76">
        <v>0</v>
      </c>
      <c r="O166" s="76">
        <v>0</v>
      </c>
      <c r="Q166" s="77">
        <f t="shared" si="55"/>
        <v>0</v>
      </c>
    </row>
    <row r="167" spans="1:17" ht="15" customHeight="1">
      <c r="A167" s="94" t="str">
        <f t="shared" si="54"/>
        <v>Other</v>
      </c>
      <c r="C167" s="81">
        <v>41</v>
      </c>
      <c r="D167" s="76">
        <v>0</v>
      </c>
      <c r="E167" s="76">
        <v>0</v>
      </c>
      <c r="F167" s="76">
        <v>0</v>
      </c>
      <c r="G167" s="76">
        <v>0</v>
      </c>
      <c r="H167" s="76">
        <v>0</v>
      </c>
      <c r="I167" s="76">
        <v>0</v>
      </c>
      <c r="J167" s="76">
        <v>0</v>
      </c>
      <c r="K167" s="76">
        <v>0</v>
      </c>
      <c r="L167" s="76">
        <v>0</v>
      </c>
      <c r="M167" s="76">
        <v>0</v>
      </c>
      <c r="N167" s="76">
        <v>0</v>
      </c>
      <c r="O167" s="76">
        <v>0</v>
      </c>
      <c r="Q167" s="77">
        <f t="shared" si="55"/>
        <v>0</v>
      </c>
    </row>
    <row r="168" spans="1:17" ht="15" customHeight="1">
      <c r="A168" s="94" t="str">
        <f t="shared" si="54"/>
        <v>Other</v>
      </c>
      <c r="C168" s="81">
        <v>42</v>
      </c>
      <c r="D168" s="76">
        <v>0</v>
      </c>
      <c r="E168" s="76">
        <v>0</v>
      </c>
      <c r="F168" s="76">
        <v>0</v>
      </c>
      <c r="G168" s="76">
        <v>0</v>
      </c>
      <c r="H168" s="76">
        <v>0</v>
      </c>
      <c r="I168" s="76">
        <v>0</v>
      </c>
      <c r="J168" s="76">
        <v>0</v>
      </c>
      <c r="K168" s="76">
        <v>0</v>
      </c>
      <c r="L168" s="76">
        <v>0</v>
      </c>
      <c r="M168" s="76">
        <v>0</v>
      </c>
      <c r="N168" s="76">
        <v>0</v>
      </c>
      <c r="O168" s="76">
        <v>0</v>
      </c>
      <c r="Q168" s="77">
        <f t="shared" si="55"/>
        <v>0</v>
      </c>
    </row>
    <row r="169" spans="1:17" ht="15" customHeight="1">
      <c r="A169" s="94" t="str">
        <f t="shared" si="54"/>
        <v>Other</v>
      </c>
      <c r="C169" s="81">
        <v>43</v>
      </c>
      <c r="D169" s="76">
        <v>0</v>
      </c>
      <c r="E169" s="76">
        <v>0</v>
      </c>
      <c r="F169" s="76">
        <v>0</v>
      </c>
      <c r="G169" s="76">
        <v>0</v>
      </c>
      <c r="H169" s="76">
        <v>0</v>
      </c>
      <c r="I169" s="76">
        <v>0</v>
      </c>
      <c r="J169" s="76">
        <v>0</v>
      </c>
      <c r="K169" s="76">
        <v>0</v>
      </c>
      <c r="L169" s="76">
        <v>0</v>
      </c>
      <c r="M169" s="76">
        <v>0</v>
      </c>
      <c r="N169" s="76">
        <v>0</v>
      </c>
      <c r="O169" s="76">
        <v>0</v>
      </c>
      <c r="Q169" s="77">
        <f t="shared" si="55"/>
        <v>0</v>
      </c>
    </row>
    <row r="170" spans="1:17" ht="15" customHeight="1">
      <c r="A170" s="94" t="str">
        <f t="shared" si="54"/>
        <v>Other</v>
      </c>
      <c r="C170" s="81">
        <v>44</v>
      </c>
      <c r="D170" s="76">
        <v>0</v>
      </c>
      <c r="E170" s="76">
        <v>0</v>
      </c>
      <c r="F170" s="76">
        <v>0</v>
      </c>
      <c r="G170" s="76">
        <v>0</v>
      </c>
      <c r="H170" s="76">
        <v>0</v>
      </c>
      <c r="I170" s="76">
        <v>0</v>
      </c>
      <c r="J170" s="76">
        <v>0</v>
      </c>
      <c r="K170" s="76">
        <v>0</v>
      </c>
      <c r="L170" s="76">
        <v>0</v>
      </c>
      <c r="M170" s="76">
        <v>0</v>
      </c>
      <c r="N170" s="76">
        <v>0</v>
      </c>
      <c r="O170" s="76">
        <v>0</v>
      </c>
      <c r="Q170" s="77">
        <f t="shared" si="55"/>
        <v>0</v>
      </c>
    </row>
    <row r="171" spans="1:17" ht="15" customHeight="1">
      <c r="A171" s="73" t="s">
        <v>85</v>
      </c>
      <c r="C171" s="81">
        <v>45</v>
      </c>
      <c r="D171" s="79">
        <f t="shared" ref="D171:O171" si="56">SUM(D149:D170)</f>
        <v>1315</v>
      </c>
      <c r="E171" s="79">
        <f t="shared" si="56"/>
        <v>1315</v>
      </c>
      <c r="F171" s="79">
        <f t="shared" si="56"/>
        <v>1315</v>
      </c>
      <c r="G171" s="79">
        <f t="shared" si="56"/>
        <v>1315</v>
      </c>
      <c r="H171" s="79">
        <f t="shared" si="56"/>
        <v>1315</v>
      </c>
      <c r="I171" s="79">
        <f t="shared" si="56"/>
        <v>1315</v>
      </c>
      <c r="J171" s="79">
        <f t="shared" si="56"/>
        <v>1315</v>
      </c>
      <c r="K171" s="79">
        <f t="shared" si="56"/>
        <v>1315</v>
      </c>
      <c r="L171" s="79">
        <f t="shared" si="56"/>
        <v>1315</v>
      </c>
      <c r="M171" s="79">
        <f t="shared" si="56"/>
        <v>1315</v>
      </c>
      <c r="N171" s="79">
        <f t="shared" si="56"/>
        <v>1315</v>
      </c>
      <c r="O171" s="79">
        <f t="shared" si="56"/>
        <v>1315</v>
      </c>
      <c r="Q171" s="79">
        <f>SUM(Q149:Q170)</f>
        <v>15780</v>
      </c>
    </row>
    <row r="172" spans="1:17" ht="15" customHeight="1">
      <c r="C172" s="81">
        <v>46</v>
      </c>
      <c r="D172" s="77"/>
      <c r="E172" s="77"/>
      <c r="F172" s="77"/>
      <c r="G172" s="77"/>
      <c r="H172" s="77"/>
      <c r="I172" s="77"/>
      <c r="J172" s="77"/>
      <c r="K172" s="77"/>
      <c r="L172" s="77"/>
      <c r="M172" s="77"/>
      <c r="N172" s="77"/>
      <c r="O172" s="77"/>
    </row>
    <row r="173" spans="1:17" s="73" customFormat="1" ht="15" customHeight="1" thickBot="1">
      <c r="A173" s="73" t="str">
        <f>A50</f>
        <v>Net Surplus / (Deficit)</v>
      </c>
      <c r="C173" s="81">
        <v>47</v>
      </c>
      <c r="D173" s="153">
        <f t="shared" ref="D173:O173" si="57">D145-D171</f>
        <v>212</v>
      </c>
      <c r="E173" s="153">
        <f t="shared" si="57"/>
        <v>335</v>
      </c>
      <c r="F173" s="153">
        <f t="shared" si="57"/>
        <v>161</v>
      </c>
      <c r="G173" s="153">
        <f t="shared" si="57"/>
        <v>185</v>
      </c>
      <c r="H173" s="153">
        <f t="shared" si="57"/>
        <v>185</v>
      </c>
      <c r="I173" s="153">
        <f t="shared" si="57"/>
        <v>385</v>
      </c>
      <c r="J173" s="153">
        <f t="shared" si="57"/>
        <v>235</v>
      </c>
      <c r="K173" s="153">
        <f t="shared" si="57"/>
        <v>185</v>
      </c>
      <c r="L173" s="153">
        <f t="shared" si="57"/>
        <v>185</v>
      </c>
      <c r="M173" s="153">
        <f t="shared" si="57"/>
        <v>185</v>
      </c>
      <c r="N173" s="153">
        <f t="shared" si="57"/>
        <v>185</v>
      </c>
      <c r="O173" s="153">
        <f t="shared" si="57"/>
        <v>185</v>
      </c>
      <c r="P173" s="154"/>
      <c r="Q173" s="78">
        <f>Q145-Q171</f>
        <v>2623</v>
      </c>
    </row>
    <row r="174" spans="1:17" s="73" customFormat="1" ht="15" customHeight="1">
      <c r="C174" s="81">
        <v>48</v>
      </c>
      <c r="D174" s="155"/>
      <c r="E174" s="155"/>
      <c r="F174" s="155"/>
      <c r="G174" s="155"/>
      <c r="H174" s="155"/>
      <c r="I174" s="155"/>
      <c r="J174" s="155"/>
      <c r="K174" s="155"/>
      <c r="L174" s="155"/>
      <c r="M174" s="155"/>
      <c r="N174" s="155"/>
      <c r="O174" s="155"/>
      <c r="P174" s="154"/>
      <c r="Q174" s="249"/>
    </row>
    <row r="175" spans="1:17" ht="15" customHeight="1">
      <c r="C175" s="81">
        <v>49</v>
      </c>
      <c r="D175" s="77"/>
      <c r="E175" s="77"/>
      <c r="F175" s="77"/>
      <c r="G175" s="77"/>
      <c r="H175" s="77"/>
      <c r="I175" s="77"/>
      <c r="J175" s="77"/>
      <c r="K175" s="77"/>
      <c r="L175" s="77"/>
      <c r="M175" s="77"/>
      <c r="N175" s="77"/>
      <c r="O175" s="77"/>
    </row>
    <row r="176" spans="1:17" ht="15" customHeight="1">
      <c r="A176" s="73" t="s">
        <v>196</v>
      </c>
      <c r="C176" s="81">
        <v>50</v>
      </c>
      <c r="D176" s="75">
        <f>D4</f>
        <v>41851</v>
      </c>
      <c r="E176" s="75">
        <f t="shared" ref="E176:O176" si="58">E4</f>
        <v>41882</v>
      </c>
      <c r="F176" s="75">
        <f t="shared" si="58"/>
        <v>41912</v>
      </c>
      <c r="G176" s="75">
        <f t="shared" si="58"/>
        <v>41943</v>
      </c>
      <c r="H176" s="75">
        <f t="shared" si="58"/>
        <v>41973</v>
      </c>
      <c r="I176" s="75">
        <f t="shared" si="58"/>
        <v>42004</v>
      </c>
      <c r="J176" s="75">
        <f t="shared" si="58"/>
        <v>42035</v>
      </c>
      <c r="K176" s="75">
        <f t="shared" si="58"/>
        <v>42063</v>
      </c>
      <c r="L176" s="75">
        <f t="shared" si="58"/>
        <v>42094</v>
      </c>
      <c r="M176" s="75">
        <f t="shared" si="58"/>
        <v>42124</v>
      </c>
      <c r="N176" s="75">
        <f t="shared" si="58"/>
        <v>42155</v>
      </c>
      <c r="O176" s="75">
        <f t="shared" si="58"/>
        <v>42185</v>
      </c>
    </row>
    <row r="177" spans="1:17" ht="15" customHeight="1">
      <c r="C177" s="81">
        <v>51</v>
      </c>
      <c r="D177" s="77"/>
      <c r="E177" s="77"/>
      <c r="F177" s="77"/>
      <c r="G177" s="77"/>
      <c r="H177" s="77"/>
      <c r="I177" s="77"/>
      <c r="J177" s="77"/>
      <c r="K177" s="77"/>
      <c r="L177" s="77"/>
      <c r="M177" s="77"/>
      <c r="N177" s="77"/>
      <c r="O177" s="77"/>
    </row>
    <row r="178" spans="1:17" ht="15" customHeight="1">
      <c r="A178" s="94" t="s">
        <v>145</v>
      </c>
      <c r="C178" s="81">
        <v>52</v>
      </c>
      <c r="D178" s="76">
        <v>120</v>
      </c>
      <c r="E178" s="76">
        <v>100</v>
      </c>
      <c r="F178" s="76">
        <v>-30</v>
      </c>
      <c r="G178" s="76">
        <v>100</v>
      </c>
      <c r="H178" s="76">
        <v>120</v>
      </c>
      <c r="I178" s="76">
        <v>90</v>
      </c>
      <c r="J178" s="76">
        <v>60</v>
      </c>
      <c r="K178" s="76">
        <v>90</v>
      </c>
      <c r="L178" s="76">
        <v>85</v>
      </c>
      <c r="M178" s="76">
        <v>110</v>
      </c>
      <c r="N178" s="76">
        <v>70</v>
      </c>
      <c r="O178" s="76">
        <v>65</v>
      </c>
    </row>
    <row r="179" spans="1:17" ht="15" customHeight="1">
      <c r="A179" s="94" t="s">
        <v>121</v>
      </c>
      <c r="C179" s="81">
        <v>53</v>
      </c>
      <c r="D179" s="77">
        <f t="shared" ref="D179:O179" si="59">D55</f>
        <v>1130</v>
      </c>
      <c r="E179" s="77">
        <f t="shared" si="59"/>
        <v>1160</v>
      </c>
      <c r="F179" s="77">
        <f t="shared" si="59"/>
        <v>1010</v>
      </c>
      <c r="G179" s="77">
        <f t="shared" si="59"/>
        <v>1180</v>
      </c>
      <c r="H179" s="77">
        <f t="shared" si="59"/>
        <v>1120</v>
      </c>
      <c r="I179" s="77">
        <f t="shared" si="59"/>
        <v>0</v>
      </c>
      <c r="J179" s="77">
        <f t="shared" si="59"/>
        <v>0</v>
      </c>
      <c r="K179" s="77">
        <f t="shared" si="59"/>
        <v>0</v>
      </c>
      <c r="L179" s="77">
        <f t="shared" si="59"/>
        <v>0</v>
      </c>
      <c r="M179" s="77">
        <f t="shared" si="59"/>
        <v>0</v>
      </c>
      <c r="N179" s="77">
        <f t="shared" si="59"/>
        <v>0</v>
      </c>
      <c r="O179" s="77">
        <f t="shared" si="59"/>
        <v>0</v>
      </c>
    </row>
    <row r="180" spans="1:17" ht="15" customHeight="1" thickBot="1">
      <c r="A180" s="94" t="s">
        <v>20</v>
      </c>
      <c r="C180" s="81">
        <v>54</v>
      </c>
      <c r="D180" s="244">
        <f>IF(D179=0,0,D179-D178)</f>
        <v>1010</v>
      </c>
      <c r="E180" s="244">
        <f t="shared" ref="E180:H180" si="60">IF(E179=0,D180,E179-E178)</f>
        <v>1060</v>
      </c>
      <c r="F180" s="244">
        <f t="shared" si="60"/>
        <v>1040</v>
      </c>
      <c r="G180" s="244">
        <f t="shared" si="60"/>
        <v>1080</v>
      </c>
      <c r="H180" s="244">
        <f t="shared" si="60"/>
        <v>1000</v>
      </c>
      <c r="I180" s="244">
        <f>IF(I179=0,H180,I179-I178)</f>
        <v>1000</v>
      </c>
      <c r="J180" s="244">
        <f t="shared" ref="J180:O180" si="61">IF(J179=0,I180,J179-J178)</f>
        <v>1000</v>
      </c>
      <c r="K180" s="244">
        <f t="shared" si="61"/>
        <v>1000</v>
      </c>
      <c r="L180" s="244">
        <f t="shared" si="61"/>
        <v>1000</v>
      </c>
      <c r="M180" s="244">
        <f t="shared" si="61"/>
        <v>1000</v>
      </c>
      <c r="N180" s="244">
        <f t="shared" si="61"/>
        <v>1000</v>
      </c>
      <c r="O180" s="244">
        <f t="shared" si="61"/>
        <v>1000</v>
      </c>
    </row>
    <row r="181" spans="1:17" ht="15" customHeight="1">
      <c r="A181" s="94"/>
      <c r="C181" s="81">
        <v>55</v>
      </c>
      <c r="D181" s="235"/>
      <c r="E181" s="235"/>
      <c r="F181" s="235"/>
      <c r="G181" s="235"/>
      <c r="H181" s="235"/>
      <c r="I181" s="235"/>
      <c r="J181" s="235"/>
      <c r="K181" s="235"/>
      <c r="L181" s="235"/>
      <c r="M181" s="235"/>
      <c r="N181" s="235"/>
      <c r="O181" s="235"/>
    </row>
    <row r="182" spans="1:17" ht="15" customHeight="1">
      <c r="A182" s="94" t="s">
        <v>120</v>
      </c>
      <c r="C182" s="81">
        <v>56</v>
      </c>
      <c r="D182" s="298">
        <f>IF(D179=0,D178,D178+D180)</f>
        <v>1130</v>
      </c>
      <c r="E182" s="298">
        <f>IF(E179=0,E178+D180,E178+E180)</f>
        <v>1160</v>
      </c>
      <c r="F182" s="298">
        <f>IF(F179=0,F178+E180,F178+F180)</f>
        <v>1010</v>
      </c>
      <c r="G182" s="298">
        <f>IF(G179=0,G178+F180,G178+G180)</f>
        <v>1180</v>
      </c>
      <c r="H182" s="298">
        <f t="shared" ref="H182:O182" si="62">IF(H179=0,H178+G180,H178+H180)</f>
        <v>1120</v>
      </c>
      <c r="I182" s="298">
        <f t="shared" si="62"/>
        <v>1090</v>
      </c>
      <c r="J182" s="298">
        <f t="shared" si="62"/>
        <v>1060</v>
      </c>
      <c r="K182" s="298">
        <f t="shared" si="62"/>
        <v>1090</v>
      </c>
      <c r="L182" s="298">
        <f t="shared" si="62"/>
        <v>1085</v>
      </c>
      <c r="M182" s="298">
        <f t="shared" si="62"/>
        <v>1110</v>
      </c>
      <c r="N182" s="298">
        <f t="shared" si="62"/>
        <v>1070</v>
      </c>
      <c r="O182" s="298">
        <f t="shared" si="62"/>
        <v>1065</v>
      </c>
    </row>
    <row r="183" spans="1:17" ht="15" customHeight="1">
      <c r="A183" s="94"/>
      <c r="C183" s="81">
        <v>57</v>
      </c>
      <c r="D183" s="77"/>
      <c r="E183" s="77"/>
      <c r="F183" s="77"/>
      <c r="G183" s="77"/>
      <c r="H183" s="77"/>
      <c r="I183" s="77"/>
      <c r="J183" s="77"/>
      <c r="K183" s="77"/>
      <c r="L183" s="77"/>
      <c r="M183" s="77"/>
      <c r="N183" s="77"/>
      <c r="O183" s="77"/>
    </row>
    <row r="184" spans="1:17" ht="15" customHeight="1">
      <c r="A184" s="94" t="s">
        <v>194</v>
      </c>
      <c r="C184" s="81">
        <v>58</v>
      </c>
      <c r="D184" s="77">
        <f>D179</f>
        <v>1130</v>
      </c>
      <c r="E184" s="77">
        <f t="shared" ref="E184:O184" si="63">E179</f>
        <v>1160</v>
      </c>
      <c r="F184" s="77">
        <f t="shared" si="63"/>
        <v>1010</v>
      </c>
      <c r="G184" s="77">
        <f t="shared" si="63"/>
        <v>1180</v>
      </c>
      <c r="H184" s="77">
        <f t="shared" si="63"/>
        <v>1120</v>
      </c>
      <c r="I184" s="77">
        <f t="shared" si="63"/>
        <v>0</v>
      </c>
      <c r="J184" s="77">
        <f t="shared" si="63"/>
        <v>0</v>
      </c>
      <c r="K184" s="77">
        <f t="shared" si="63"/>
        <v>0</v>
      </c>
      <c r="L184" s="77">
        <f t="shared" si="63"/>
        <v>0</v>
      </c>
      <c r="M184" s="77">
        <f t="shared" si="63"/>
        <v>0</v>
      </c>
      <c r="N184" s="77">
        <f t="shared" si="63"/>
        <v>0</v>
      </c>
      <c r="O184" s="77">
        <f t="shared" si="63"/>
        <v>0</v>
      </c>
    </row>
    <row r="185" spans="1:17" ht="15" customHeight="1">
      <c r="A185" s="94" t="s">
        <v>195</v>
      </c>
      <c r="C185" s="81">
        <v>59</v>
      </c>
      <c r="D185" s="298">
        <v>120</v>
      </c>
      <c r="E185" s="298">
        <v>120</v>
      </c>
      <c r="F185" s="298">
        <v>120</v>
      </c>
      <c r="G185" s="298">
        <v>120</v>
      </c>
      <c r="H185" s="298">
        <v>120</v>
      </c>
      <c r="I185" s="298"/>
      <c r="J185" s="298"/>
      <c r="K185" s="298"/>
      <c r="L185" s="298"/>
      <c r="M185" s="298"/>
      <c r="N185" s="298"/>
      <c r="O185" s="298"/>
    </row>
    <row r="186" spans="1:17" ht="15" customHeight="1" thickBot="1">
      <c r="A186" s="94" t="s">
        <v>197</v>
      </c>
      <c r="C186" s="81">
        <v>60</v>
      </c>
      <c r="D186" s="244">
        <f>D184-D185</f>
        <v>1010</v>
      </c>
      <c r="E186" s="244">
        <f t="shared" ref="E186:O186" si="64">E184-E185</f>
        <v>1040</v>
      </c>
      <c r="F186" s="244">
        <f t="shared" si="64"/>
        <v>890</v>
      </c>
      <c r="G186" s="244">
        <f t="shared" si="64"/>
        <v>1060</v>
      </c>
      <c r="H186" s="244">
        <f t="shared" si="64"/>
        <v>1000</v>
      </c>
      <c r="I186" s="244">
        <f t="shared" si="64"/>
        <v>0</v>
      </c>
      <c r="J186" s="244">
        <f t="shared" si="64"/>
        <v>0</v>
      </c>
      <c r="K186" s="244">
        <f t="shared" si="64"/>
        <v>0</v>
      </c>
      <c r="L186" s="244">
        <f t="shared" si="64"/>
        <v>0</v>
      </c>
      <c r="M186" s="244">
        <f t="shared" si="64"/>
        <v>0</v>
      </c>
      <c r="N186" s="244">
        <f t="shared" si="64"/>
        <v>0</v>
      </c>
      <c r="O186" s="244">
        <f t="shared" si="64"/>
        <v>0</v>
      </c>
    </row>
    <row r="187" spans="1:17" ht="15" customHeight="1">
      <c r="A187" s="94"/>
      <c r="C187" s="81">
        <v>61</v>
      </c>
      <c r="D187" s="77"/>
      <c r="E187" s="77"/>
      <c r="F187" s="77"/>
      <c r="G187" s="77"/>
      <c r="H187" s="77"/>
      <c r="I187" s="77"/>
      <c r="J187" s="77"/>
      <c r="K187" s="77"/>
      <c r="L187" s="77"/>
      <c r="M187" s="77"/>
      <c r="N187" s="77"/>
      <c r="O187" s="77"/>
    </row>
    <row r="188" spans="1:17" ht="15" customHeight="1">
      <c r="A188" s="94"/>
      <c r="C188" s="81">
        <v>62</v>
      </c>
      <c r="D188" s="77"/>
      <c r="E188" s="77"/>
      <c r="F188" s="77"/>
      <c r="G188" s="77"/>
      <c r="H188" s="77"/>
      <c r="I188" s="77"/>
      <c r="J188" s="77"/>
      <c r="K188" s="77"/>
      <c r="L188" s="77"/>
      <c r="M188" s="77"/>
      <c r="N188" s="77"/>
      <c r="O188" s="77"/>
    </row>
    <row r="189" spans="1:17" ht="15" customHeight="1">
      <c r="A189" s="73" t="s">
        <v>170</v>
      </c>
      <c r="C189" s="81">
        <v>63</v>
      </c>
      <c r="D189" s="75">
        <f>D4</f>
        <v>41851</v>
      </c>
      <c r="E189" s="75">
        <f t="shared" ref="E189:O189" si="65">E4</f>
        <v>41882</v>
      </c>
      <c r="F189" s="75">
        <f t="shared" si="65"/>
        <v>41912</v>
      </c>
      <c r="G189" s="75">
        <f t="shared" si="65"/>
        <v>41943</v>
      </c>
      <c r="H189" s="75">
        <f t="shared" si="65"/>
        <v>41973</v>
      </c>
      <c r="I189" s="75">
        <f t="shared" si="65"/>
        <v>42004</v>
      </c>
      <c r="J189" s="75">
        <f t="shared" si="65"/>
        <v>42035</v>
      </c>
      <c r="K189" s="75">
        <f t="shared" si="65"/>
        <v>42063</v>
      </c>
      <c r="L189" s="75">
        <f t="shared" si="65"/>
        <v>42094</v>
      </c>
      <c r="M189" s="75">
        <f t="shared" si="65"/>
        <v>42124</v>
      </c>
      <c r="N189" s="75">
        <f t="shared" si="65"/>
        <v>42155</v>
      </c>
      <c r="O189" s="75">
        <f t="shared" si="65"/>
        <v>42185</v>
      </c>
      <c r="Q189" s="120" t="s">
        <v>3</v>
      </c>
    </row>
    <row r="190" spans="1:17" ht="15" customHeight="1">
      <c r="A190" s="94"/>
      <c r="C190" s="81">
        <v>64</v>
      </c>
      <c r="D190" s="77"/>
      <c r="E190" s="77"/>
      <c r="F190" s="77"/>
      <c r="G190" s="77"/>
      <c r="H190" s="77"/>
      <c r="I190" s="77"/>
      <c r="J190" s="77"/>
      <c r="K190" s="77"/>
      <c r="L190" s="77"/>
      <c r="M190" s="77"/>
      <c r="N190" s="77"/>
      <c r="O190" s="77"/>
    </row>
    <row r="191" spans="1:17" ht="15" customHeight="1">
      <c r="A191" s="94" t="s">
        <v>234</v>
      </c>
      <c r="C191" s="81">
        <v>65</v>
      </c>
      <c r="D191" s="77">
        <f>D173</f>
        <v>212</v>
      </c>
      <c r="E191" s="77">
        <f t="shared" ref="E191:O191" si="66">E173</f>
        <v>335</v>
      </c>
      <c r="F191" s="77">
        <f t="shared" si="66"/>
        <v>161</v>
      </c>
      <c r="G191" s="77">
        <f t="shared" si="66"/>
        <v>185</v>
      </c>
      <c r="H191" s="77">
        <f t="shared" si="66"/>
        <v>185</v>
      </c>
      <c r="I191" s="77">
        <f t="shared" si="66"/>
        <v>385</v>
      </c>
      <c r="J191" s="77">
        <f t="shared" si="66"/>
        <v>235</v>
      </c>
      <c r="K191" s="77">
        <f t="shared" si="66"/>
        <v>185</v>
      </c>
      <c r="L191" s="77">
        <f t="shared" si="66"/>
        <v>185</v>
      </c>
      <c r="M191" s="77">
        <f t="shared" si="66"/>
        <v>185</v>
      </c>
      <c r="N191" s="77">
        <f t="shared" si="66"/>
        <v>185</v>
      </c>
      <c r="O191" s="77">
        <f t="shared" si="66"/>
        <v>185</v>
      </c>
      <c r="Q191" s="77">
        <f>SUM(D191:O191)</f>
        <v>2623</v>
      </c>
    </row>
    <row r="192" spans="1:17" ht="15" customHeight="1">
      <c r="A192" s="94" t="s">
        <v>235</v>
      </c>
      <c r="C192" s="81">
        <v>66</v>
      </c>
      <c r="D192" s="77">
        <f t="shared" ref="D192:O192" si="67">D50</f>
        <v>-134</v>
      </c>
      <c r="E192" s="77">
        <f t="shared" si="67"/>
        <v>266</v>
      </c>
      <c r="F192" s="77">
        <f t="shared" si="67"/>
        <v>91</v>
      </c>
      <c r="G192" s="77">
        <f t="shared" si="67"/>
        <v>150</v>
      </c>
      <c r="H192" s="77">
        <f t="shared" si="67"/>
        <v>-1089</v>
      </c>
      <c r="I192" s="77">
        <f t="shared" si="67"/>
        <v>0</v>
      </c>
      <c r="J192" s="77">
        <f t="shared" si="67"/>
        <v>0</v>
      </c>
      <c r="K192" s="77">
        <f t="shared" si="67"/>
        <v>0</v>
      </c>
      <c r="L192" s="77">
        <f t="shared" si="67"/>
        <v>0</v>
      </c>
      <c r="M192" s="77">
        <f t="shared" si="67"/>
        <v>0</v>
      </c>
      <c r="N192" s="77">
        <f t="shared" si="67"/>
        <v>0</v>
      </c>
      <c r="O192" s="77">
        <f t="shared" si="67"/>
        <v>0</v>
      </c>
      <c r="Q192" s="77">
        <f t="shared" ref="Q192:Q193" si="68">SUM(D192:O192)</f>
        <v>-716</v>
      </c>
    </row>
    <row r="193" spans="1:17" ht="15" customHeight="1">
      <c r="A193" s="94" t="s">
        <v>236</v>
      </c>
      <c r="C193" s="81">
        <v>67</v>
      </c>
      <c r="D193" s="76">
        <v>-134</v>
      </c>
      <c r="E193" s="76">
        <v>266</v>
      </c>
      <c r="F193" s="76">
        <v>91</v>
      </c>
      <c r="G193" s="76">
        <v>150</v>
      </c>
      <c r="H193" s="76">
        <v>-1089</v>
      </c>
      <c r="I193" s="76">
        <v>550</v>
      </c>
      <c r="J193" s="76">
        <v>100</v>
      </c>
      <c r="K193" s="76">
        <v>30</v>
      </c>
      <c r="L193" s="76">
        <v>50</v>
      </c>
      <c r="M193" s="76">
        <v>30</v>
      </c>
      <c r="N193" s="76">
        <v>30</v>
      </c>
      <c r="O193" s="76">
        <v>50</v>
      </c>
      <c r="Q193" s="77">
        <f t="shared" si="68"/>
        <v>124</v>
      </c>
    </row>
    <row r="194" spans="1:17" ht="15" customHeight="1">
      <c r="A194" s="94"/>
      <c r="C194" s="81">
        <v>68</v>
      </c>
      <c r="D194" s="77"/>
      <c r="E194" s="77"/>
      <c r="F194" s="77"/>
      <c r="G194" s="77"/>
      <c r="H194" s="77"/>
      <c r="I194" s="77"/>
      <c r="J194" s="77"/>
      <c r="K194" s="77"/>
      <c r="L194" s="77"/>
      <c r="M194" s="77"/>
      <c r="N194" s="77"/>
      <c r="O194" s="77"/>
    </row>
    <row r="195" spans="1:17" ht="15" customHeight="1">
      <c r="C195" s="81">
        <v>69</v>
      </c>
      <c r="D195" s="77"/>
      <c r="E195" s="77"/>
      <c r="F195" s="77"/>
      <c r="G195" s="77"/>
      <c r="H195" s="77"/>
      <c r="I195" s="77"/>
      <c r="J195" s="77"/>
      <c r="K195" s="77"/>
      <c r="L195" s="77"/>
      <c r="M195" s="77"/>
      <c r="N195" s="77"/>
      <c r="O195" s="77"/>
    </row>
    <row r="196" spans="1:17" ht="15" customHeight="1">
      <c r="A196" s="73" t="s">
        <v>40</v>
      </c>
      <c r="B196" s="73"/>
      <c r="C196" s="81">
        <v>70</v>
      </c>
      <c r="D196" s="252" t="s">
        <v>128</v>
      </c>
      <c r="E196" s="77"/>
      <c r="F196" s="77"/>
      <c r="G196" s="77"/>
      <c r="H196" s="77"/>
      <c r="I196" s="77"/>
      <c r="J196" s="77"/>
      <c r="K196" s="77"/>
      <c r="L196" s="77"/>
      <c r="M196" s="77"/>
      <c r="N196" s="77"/>
      <c r="O196" s="77"/>
    </row>
    <row r="197" spans="1:17" ht="15" customHeight="1">
      <c r="C197" s="81">
        <v>71</v>
      </c>
      <c r="D197" s="77"/>
      <c r="E197" s="77"/>
      <c r="F197" s="77"/>
      <c r="G197" s="77"/>
      <c r="H197" s="77"/>
      <c r="I197" s="77"/>
      <c r="J197" s="77"/>
      <c r="K197" s="77"/>
      <c r="L197" s="77"/>
      <c r="M197" s="77"/>
      <c r="N197" s="77"/>
      <c r="O197" s="77"/>
    </row>
    <row r="198" spans="1:17" ht="15" customHeight="1">
      <c r="A198" s="94" t="s">
        <v>127</v>
      </c>
      <c r="B198" s="94"/>
      <c r="C198" s="81">
        <v>72</v>
      </c>
      <c r="D198" s="195">
        <v>1.1000000000000001</v>
      </c>
      <c r="E198" s="253" t="s">
        <v>131</v>
      </c>
      <c r="F198" s="138"/>
      <c r="G198" s="138"/>
      <c r="H198" s="138"/>
      <c r="I198" s="138"/>
      <c r="J198" s="138"/>
      <c r="K198" s="138"/>
      <c r="L198" s="138"/>
      <c r="M198" s="138"/>
      <c r="N198" s="138"/>
      <c r="O198" s="138"/>
    </row>
    <row r="199" spans="1:17" ht="15" customHeight="1">
      <c r="A199" s="94" t="s">
        <v>117</v>
      </c>
      <c r="C199" s="81">
        <v>73</v>
      </c>
      <c r="D199" s="250">
        <v>0.85</v>
      </c>
      <c r="E199" s="251" t="s">
        <v>129</v>
      </c>
      <c r="F199" s="77"/>
      <c r="G199" s="77"/>
      <c r="H199" s="77"/>
      <c r="I199" s="77"/>
      <c r="J199" s="77"/>
      <c r="K199" s="77"/>
      <c r="L199" s="77"/>
      <c r="M199" s="77"/>
      <c r="N199" s="77"/>
      <c r="O199" s="77"/>
    </row>
    <row r="200" spans="1:17" ht="15" customHeight="1">
      <c r="A200" s="94" t="s">
        <v>118</v>
      </c>
      <c r="C200" s="81">
        <v>74</v>
      </c>
      <c r="D200" s="250">
        <v>0.95</v>
      </c>
      <c r="E200" s="251" t="s">
        <v>130</v>
      </c>
      <c r="F200" s="77"/>
      <c r="G200" s="77"/>
      <c r="H200" s="77"/>
      <c r="I200" s="77"/>
      <c r="J200" s="77"/>
      <c r="K200" s="77"/>
      <c r="L200" s="77"/>
      <c r="M200" s="77"/>
      <c r="N200" s="77"/>
      <c r="O200" s="77"/>
    </row>
    <row r="201" spans="1:17" ht="15" customHeight="1">
      <c r="A201" s="94" t="s">
        <v>224</v>
      </c>
      <c r="C201" s="81">
        <v>75</v>
      </c>
      <c r="D201" s="298">
        <v>90</v>
      </c>
      <c r="E201" s="318" t="s">
        <v>225</v>
      </c>
      <c r="F201" s="77"/>
      <c r="G201" s="77"/>
      <c r="H201" s="77"/>
      <c r="I201" s="77"/>
      <c r="J201" s="77"/>
      <c r="K201" s="77"/>
      <c r="L201" s="77"/>
      <c r="M201" s="77"/>
      <c r="N201" s="77"/>
      <c r="O201" s="77"/>
    </row>
    <row r="202" spans="1:17" ht="15" customHeight="1">
      <c r="C202" s="81">
        <v>76</v>
      </c>
      <c r="D202" s="77"/>
      <c r="E202" s="77"/>
      <c r="F202" s="77"/>
      <c r="G202" s="77"/>
      <c r="H202" s="77"/>
      <c r="I202" s="77"/>
      <c r="J202" s="77"/>
      <c r="K202" s="77"/>
      <c r="L202" s="77"/>
      <c r="M202" s="77"/>
      <c r="N202" s="77"/>
      <c r="O202" s="77"/>
    </row>
    <row r="203" spans="1:17" ht="15" customHeight="1">
      <c r="A203" s="73" t="s">
        <v>175</v>
      </c>
      <c r="C203" s="81">
        <v>77</v>
      </c>
      <c r="D203" s="75">
        <f>D4</f>
        <v>41851</v>
      </c>
      <c r="E203" s="75">
        <f t="shared" ref="E203:O203" si="69">E4</f>
        <v>41882</v>
      </c>
      <c r="F203" s="75">
        <f t="shared" si="69"/>
        <v>41912</v>
      </c>
      <c r="G203" s="75">
        <f t="shared" si="69"/>
        <v>41943</v>
      </c>
      <c r="H203" s="75">
        <f t="shared" si="69"/>
        <v>41973</v>
      </c>
      <c r="I203" s="75">
        <f t="shared" si="69"/>
        <v>42004</v>
      </c>
      <c r="J203" s="75">
        <f t="shared" si="69"/>
        <v>42035</v>
      </c>
      <c r="K203" s="75">
        <f t="shared" si="69"/>
        <v>42063</v>
      </c>
      <c r="L203" s="75">
        <f t="shared" si="69"/>
        <v>42094</v>
      </c>
      <c r="M203" s="75">
        <f t="shared" si="69"/>
        <v>42124</v>
      </c>
      <c r="N203" s="75">
        <f t="shared" si="69"/>
        <v>42155</v>
      </c>
      <c r="O203" s="75">
        <f t="shared" si="69"/>
        <v>42185</v>
      </c>
      <c r="Q203" s="120" t="s">
        <v>3</v>
      </c>
    </row>
    <row r="204" spans="1:17" ht="15" customHeight="1">
      <c r="C204" s="81">
        <v>78</v>
      </c>
      <c r="D204" s="77"/>
      <c r="E204" s="77"/>
      <c r="F204" s="77"/>
      <c r="G204" s="77"/>
      <c r="H204" s="77"/>
      <c r="I204" s="77"/>
      <c r="J204" s="77"/>
      <c r="K204" s="77"/>
      <c r="L204" s="77"/>
      <c r="M204" s="77"/>
      <c r="N204" s="77"/>
      <c r="O204" s="77"/>
    </row>
    <row r="205" spans="1:17" ht="15" customHeight="1">
      <c r="A205" s="297" t="s">
        <v>174</v>
      </c>
      <c r="C205" s="81">
        <v>79</v>
      </c>
      <c r="D205" s="77"/>
      <c r="E205" s="77"/>
      <c r="F205" s="77"/>
      <c r="G205" s="77"/>
      <c r="H205" s="77"/>
      <c r="I205" s="77"/>
      <c r="J205" s="77"/>
      <c r="K205" s="77"/>
      <c r="L205" s="77"/>
      <c r="M205" s="77"/>
      <c r="N205" s="77"/>
      <c r="O205" s="77"/>
    </row>
    <row r="206" spans="1:17" s="145" customFormat="1" ht="15" customHeight="1">
      <c r="A206" s="309"/>
      <c r="C206" s="81">
        <v>80</v>
      </c>
      <c r="D206" s="156"/>
      <c r="E206" s="156"/>
      <c r="F206" s="156"/>
      <c r="G206" s="156"/>
      <c r="H206" s="156"/>
      <c r="I206" s="156"/>
      <c r="J206" s="156"/>
      <c r="K206" s="156"/>
      <c r="L206" s="156"/>
      <c r="M206" s="156"/>
      <c r="N206" s="156"/>
      <c r="O206" s="156"/>
    </row>
    <row r="207" spans="1:17" ht="15" customHeight="1">
      <c r="A207" s="94" t="s">
        <v>102</v>
      </c>
      <c r="C207" s="81">
        <v>81</v>
      </c>
      <c r="D207" s="299">
        <v>10</v>
      </c>
      <c r="E207" s="299">
        <v>10</v>
      </c>
      <c r="F207" s="299">
        <v>10</v>
      </c>
      <c r="G207" s="299">
        <v>10</v>
      </c>
      <c r="H207" s="299">
        <v>20</v>
      </c>
      <c r="I207" s="299"/>
      <c r="J207" s="299"/>
      <c r="K207" s="299"/>
      <c r="L207" s="299"/>
      <c r="M207" s="299"/>
      <c r="N207" s="299"/>
      <c r="O207" s="299"/>
      <c r="P207" s="300"/>
      <c r="Q207" s="235">
        <f>SUM(D207:O207)</f>
        <v>60</v>
      </c>
    </row>
    <row r="208" spans="1:17" ht="15" customHeight="1">
      <c r="A208" s="94" t="s">
        <v>101</v>
      </c>
      <c r="C208" s="81">
        <v>82</v>
      </c>
      <c r="D208" s="299">
        <v>5</v>
      </c>
      <c r="E208" s="299">
        <v>5</v>
      </c>
      <c r="F208" s="299">
        <v>5</v>
      </c>
      <c r="G208" s="299">
        <v>5</v>
      </c>
      <c r="H208" s="299">
        <v>8</v>
      </c>
      <c r="I208" s="299"/>
      <c r="J208" s="299"/>
      <c r="K208" s="299"/>
      <c r="L208" s="299"/>
      <c r="M208" s="299"/>
      <c r="N208" s="299"/>
      <c r="O208" s="299"/>
      <c r="P208" s="300"/>
      <c r="Q208" s="235">
        <f>SUM(D208:O208)</f>
        <v>28</v>
      </c>
    </row>
    <row r="209" spans="1:17" ht="15" customHeight="1">
      <c r="A209" s="94" t="s">
        <v>238</v>
      </c>
      <c r="C209" s="81">
        <v>83</v>
      </c>
      <c r="D209" s="301">
        <f>D207-D208</f>
        <v>5</v>
      </c>
      <c r="E209" s="301">
        <f t="shared" ref="E209:O209" si="70">E207-E208</f>
        <v>5</v>
      </c>
      <c r="F209" s="301">
        <f t="shared" si="70"/>
        <v>5</v>
      </c>
      <c r="G209" s="301">
        <f t="shared" si="70"/>
        <v>5</v>
      </c>
      <c r="H209" s="301">
        <f t="shared" si="70"/>
        <v>12</v>
      </c>
      <c r="I209" s="301">
        <f t="shared" si="70"/>
        <v>0</v>
      </c>
      <c r="J209" s="301">
        <f t="shared" si="70"/>
        <v>0</v>
      </c>
      <c r="K209" s="301">
        <f t="shared" si="70"/>
        <v>0</v>
      </c>
      <c r="L209" s="301">
        <f t="shared" si="70"/>
        <v>0</v>
      </c>
      <c r="M209" s="301">
        <f t="shared" si="70"/>
        <v>0</v>
      </c>
      <c r="N209" s="301">
        <f t="shared" si="70"/>
        <v>0</v>
      </c>
      <c r="O209" s="301">
        <f t="shared" si="70"/>
        <v>0</v>
      </c>
      <c r="P209" s="300"/>
      <c r="Q209" s="301">
        <f>SUM(D209:O209)</f>
        <v>32</v>
      </c>
    </row>
    <row r="210" spans="1:17" ht="15" customHeight="1">
      <c r="C210" s="81">
        <v>84</v>
      </c>
      <c r="D210" s="77"/>
      <c r="E210" s="77"/>
      <c r="F210" s="77"/>
      <c r="G210" s="77"/>
      <c r="H210" s="77"/>
      <c r="I210" s="77"/>
      <c r="J210" s="77"/>
      <c r="K210" s="77"/>
      <c r="L210" s="77"/>
      <c r="M210" s="77"/>
      <c r="N210" s="77"/>
      <c r="O210" s="77"/>
    </row>
    <row r="211" spans="1:17" ht="15" customHeight="1">
      <c r="A211" s="297" t="s">
        <v>176</v>
      </c>
      <c r="C211" s="81">
        <v>85</v>
      </c>
      <c r="D211" s="77"/>
      <c r="E211" s="77"/>
      <c r="F211" s="77"/>
      <c r="G211" s="77"/>
      <c r="H211" s="77"/>
      <c r="I211" s="77"/>
      <c r="J211" s="77"/>
      <c r="K211" s="77"/>
      <c r="L211" s="77"/>
      <c r="M211" s="77"/>
      <c r="N211" s="77"/>
      <c r="O211" s="77"/>
    </row>
    <row r="212" spans="1:17" ht="15" customHeight="1">
      <c r="A212" s="309"/>
      <c r="C212" s="81">
        <v>86</v>
      </c>
      <c r="D212" s="77"/>
      <c r="E212" s="77"/>
      <c r="F212" s="77"/>
      <c r="G212" s="77"/>
      <c r="H212" s="77"/>
      <c r="I212" s="77"/>
      <c r="J212" s="77"/>
      <c r="K212" s="77"/>
      <c r="L212" s="77"/>
      <c r="M212" s="77"/>
      <c r="N212" s="77"/>
      <c r="O212" s="77"/>
    </row>
    <row r="213" spans="1:17" ht="15" customHeight="1">
      <c r="A213" s="94" t="s">
        <v>102</v>
      </c>
      <c r="C213" s="81">
        <v>87</v>
      </c>
      <c r="D213" s="299">
        <v>10</v>
      </c>
      <c r="E213" s="299">
        <v>10</v>
      </c>
      <c r="F213" s="299">
        <v>10</v>
      </c>
      <c r="G213" s="299">
        <v>10</v>
      </c>
      <c r="H213" s="299">
        <v>25</v>
      </c>
      <c r="I213" s="299"/>
      <c r="J213" s="299"/>
      <c r="K213" s="299"/>
      <c r="L213" s="299"/>
      <c r="M213" s="299"/>
      <c r="N213" s="299"/>
      <c r="O213" s="299"/>
      <c r="P213" s="300"/>
      <c r="Q213" s="235">
        <f>SUM(D213:O213)</f>
        <v>65</v>
      </c>
    </row>
    <row r="214" spans="1:17" ht="15" customHeight="1">
      <c r="A214" s="94" t="s">
        <v>238</v>
      </c>
      <c r="C214" s="81">
        <v>88</v>
      </c>
      <c r="D214" s="299">
        <v>5</v>
      </c>
      <c r="E214" s="299">
        <v>5</v>
      </c>
      <c r="F214" s="299">
        <v>5</v>
      </c>
      <c r="G214" s="299">
        <v>5</v>
      </c>
      <c r="H214" s="299">
        <v>7</v>
      </c>
      <c r="I214" s="299"/>
      <c r="J214" s="299"/>
      <c r="K214" s="299"/>
      <c r="L214" s="299"/>
      <c r="M214" s="299"/>
      <c r="N214" s="299"/>
      <c r="O214" s="299"/>
      <c r="P214" s="300"/>
      <c r="Q214" s="235">
        <f>SUM(D214:O214)</f>
        <v>27</v>
      </c>
    </row>
    <row r="215" spans="1:17" ht="15" customHeight="1">
      <c r="A215" s="94" t="s">
        <v>237</v>
      </c>
      <c r="C215" s="81">
        <v>89</v>
      </c>
      <c r="D215" s="301">
        <f>D213-D214</f>
        <v>5</v>
      </c>
      <c r="E215" s="301">
        <f t="shared" ref="E215" si="71">E213-E214</f>
        <v>5</v>
      </c>
      <c r="F215" s="301">
        <f t="shared" ref="F215" si="72">F213-F214</f>
        <v>5</v>
      </c>
      <c r="G215" s="301">
        <f t="shared" ref="G215" si="73">G213-G214</f>
        <v>5</v>
      </c>
      <c r="H215" s="301">
        <f t="shared" ref="H215" si="74">H213-H214</f>
        <v>18</v>
      </c>
      <c r="I215" s="301">
        <f t="shared" ref="I215" si="75">I213-I214</f>
        <v>0</v>
      </c>
      <c r="J215" s="301">
        <f t="shared" ref="J215" si="76">J213-J214</f>
        <v>0</v>
      </c>
      <c r="K215" s="301">
        <f t="shared" ref="K215" si="77">K213-K214</f>
        <v>0</v>
      </c>
      <c r="L215" s="301">
        <f t="shared" ref="L215" si="78">L213-L214</f>
        <v>0</v>
      </c>
      <c r="M215" s="301">
        <f t="shared" ref="M215" si="79">M213-M214</f>
        <v>0</v>
      </c>
      <c r="N215" s="301">
        <f t="shared" ref="N215" si="80">N213-N214</f>
        <v>0</v>
      </c>
      <c r="O215" s="301">
        <f t="shared" ref="O215" si="81">O213-O214</f>
        <v>0</v>
      </c>
      <c r="P215" s="300"/>
      <c r="Q215" s="301">
        <f>SUM(D215:O215)</f>
        <v>38</v>
      </c>
    </row>
    <row r="216" spans="1:17" ht="15" customHeight="1">
      <c r="C216" s="81">
        <v>90</v>
      </c>
      <c r="D216" s="77"/>
      <c r="E216" s="77"/>
      <c r="F216" s="77"/>
      <c r="G216" s="77"/>
      <c r="H216" s="77"/>
      <c r="I216" s="77"/>
      <c r="J216" s="77"/>
      <c r="K216" s="77"/>
      <c r="L216" s="77"/>
      <c r="M216" s="77"/>
      <c r="N216" s="77"/>
      <c r="O216" s="77"/>
    </row>
    <row r="217" spans="1:17" ht="15" customHeight="1">
      <c r="A217" s="297" t="s">
        <v>177</v>
      </c>
      <c r="C217" s="81">
        <v>91</v>
      </c>
      <c r="D217" s="77"/>
      <c r="E217" s="77"/>
      <c r="F217" s="77"/>
      <c r="G217" s="77"/>
      <c r="H217" s="77"/>
      <c r="I217" s="77"/>
      <c r="J217" s="77"/>
      <c r="K217" s="77"/>
      <c r="L217" s="77"/>
      <c r="M217" s="77"/>
      <c r="N217" s="77"/>
      <c r="O217" s="77"/>
    </row>
    <row r="218" spans="1:17" ht="15" customHeight="1">
      <c r="A218" s="309"/>
      <c r="C218" s="81">
        <v>92</v>
      </c>
      <c r="D218" s="77"/>
      <c r="E218" s="77"/>
      <c r="F218" s="77"/>
      <c r="G218" s="77"/>
      <c r="H218" s="77"/>
      <c r="I218" s="77"/>
      <c r="J218" s="77"/>
      <c r="K218" s="77"/>
      <c r="L218" s="77"/>
      <c r="M218" s="77"/>
      <c r="N218" s="77"/>
      <c r="O218" s="77"/>
    </row>
    <row r="219" spans="1:17" ht="15" customHeight="1">
      <c r="A219" s="94" t="s">
        <v>102</v>
      </c>
      <c r="C219" s="81">
        <v>93</v>
      </c>
      <c r="D219" s="299">
        <v>10</v>
      </c>
      <c r="E219" s="299">
        <v>10</v>
      </c>
      <c r="F219" s="299">
        <v>10</v>
      </c>
      <c r="G219" s="299">
        <v>10</v>
      </c>
      <c r="H219" s="299">
        <v>18</v>
      </c>
      <c r="I219" s="299"/>
      <c r="J219" s="299"/>
      <c r="K219" s="299"/>
      <c r="L219" s="299"/>
      <c r="M219" s="299"/>
      <c r="N219" s="299"/>
      <c r="O219" s="299"/>
      <c r="P219" s="300"/>
      <c r="Q219" s="235">
        <f>SUM(D219:O219)</f>
        <v>58</v>
      </c>
    </row>
    <row r="220" spans="1:17" ht="15" customHeight="1">
      <c r="A220" s="94" t="s">
        <v>101</v>
      </c>
      <c r="C220" s="81">
        <v>94</v>
      </c>
      <c r="D220" s="299">
        <v>5</v>
      </c>
      <c r="E220" s="299">
        <v>5</v>
      </c>
      <c r="F220" s="299">
        <v>5</v>
      </c>
      <c r="G220" s="299">
        <v>5</v>
      </c>
      <c r="H220" s="299">
        <v>6</v>
      </c>
      <c r="I220" s="299"/>
      <c r="J220" s="299"/>
      <c r="K220" s="299"/>
      <c r="L220" s="299"/>
      <c r="M220" s="299"/>
      <c r="N220" s="299"/>
      <c r="O220" s="299"/>
      <c r="P220" s="300"/>
      <c r="Q220" s="235">
        <f>SUM(D220:O220)</f>
        <v>26</v>
      </c>
    </row>
    <row r="221" spans="1:17" ht="15" customHeight="1">
      <c r="A221" s="94" t="s">
        <v>238</v>
      </c>
      <c r="C221" s="81">
        <v>95</v>
      </c>
      <c r="D221" s="301">
        <f>D219-D220</f>
        <v>5</v>
      </c>
      <c r="E221" s="301">
        <f t="shared" ref="E221" si="82">E219-E220</f>
        <v>5</v>
      </c>
      <c r="F221" s="301">
        <f t="shared" ref="F221" si="83">F219-F220</f>
        <v>5</v>
      </c>
      <c r="G221" s="301">
        <f t="shared" ref="G221" si="84">G219-G220</f>
        <v>5</v>
      </c>
      <c r="H221" s="301">
        <f t="shared" ref="H221" si="85">H219-H220</f>
        <v>12</v>
      </c>
      <c r="I221" s="301">
        <f t="shared" ref="I221" si="86">I219-I220</f>
        <v>0</v>
      </c>
      <c r="J221" s="301">
        <f t="shared" ref="J221" si="87">J219-J220</f>
        <v>0</v>
      </c>
      <c r="K221" s="301">
        <f t="shared" ref="K221" si="88">K219-K220</f>
        <v>0</v>
      </c>
      <c r="L221" s="301">
        <f t="shared" ref="L221" si="89">L219-L220</f>
        <v>0</v>
      </c>
      <c r="M221" s="301">
        <f t="shared" ref="M221" si="90">M219-M220</f>
        <v>0</v>
      </c>
      <c r="N221" s="301">
        <f t="shared" ref="N221" si="91">N219-N220</f>
        <v>0</v>
      </c>
      <c r="O221" s="301">
        <f t="shared" ref="O221" si="92">O219-O220</f>
        <v>0</v>
      </c>
      <c r="P221" s="300"/>
      <c r="Q221" s="301">
        <f>SUM(D221:O221)</f>
        <v>32</v>
      </c>
    </row>
    <row r="222" spans="1:17" ht="15" customHeight="1">
      <c r="C222" s="81">
        <v>96</v>
      </c>
      <c r="D222" s="77"/>
      <c r="E222" s="77"/>
      <c r="F222" s="77"/>
      <c r="G222" s="77"/>
      <c r="H222" s="77"/>
      <c r="I222" s="77"/>
      <c r="J222" s="77"/>
      <c r="K222" s="77"/>
      <c r="L222" s="77"/>
      <c r="M222" s="77"/>
      <c r="N222" s="77"/>
      <c r="O222" s="77"/>
    </row>
    <row r="223" spans="1:17" ht="15" customHeight="1">
      <c r="A223" s="297" t="s">
        <v>178</v>
      </c>
      <c r="C223" s="81">
        <v>97</v>
      </c>
      <c r="D223" s="77"/>
      <c r="E223" s="77"/>
      <c r="F223" s="77"/>
      <c r="G223" s="77"/>
      <c r="H223" s="77"/>
      <c r="I223" s="77"/>
      <c r="J223" s="77"/>
      <c r="K223" s="77"/>
      <c r="L223" s="77"/>
      <c r="M223" s="77"/>
      <c r="N223" s="77"/>
      <c r="O223" s="77"/>
    </row>
    <row r="224" spans="1:17" ht="15" customHeight="1">
      <c r="A224" s="309"/>
      <c r="C224" s="81">
        <v>98</v>
      </c>
      <c r="D224" s="77"/>
      <c r="E224" s="77"/>
      <c r="F224" s="77"/>
      <c r="G224" s="77"/>
      <c r="H224" s="77"/>
      <c r="I224" s="77"/>
      <c r="J224" s="77"/>
      <c r="K224" s="77"/>
      <c r="L224" s="77"/>
      <c r="M224" s="77"/>
      <c r="N224" s="77"/>
      <c r="O224" s="77"/>
    </row>
    <row r="225" spans="1:17" ht="15" customHeight="1">
      <c r="A225" s="94" t="s">
        <v>102</v>
      </c>
      <c r="C225" s="81">
        <v>99</v>
      </c>
      <c r="D225" s="299">
        <v>10</v>
      </c>
      <c r="E225" s="299">
        <v>10</v>
      </c>
      <c r="F225" s="299">
        <v>10</v>
      </c>
      <c r="G225" s="299">
        <v>10</v>
      </c>
      <c r="H225" s="299">
        <v>17</v>
      </c>
      <c r="I225" s="299"/>
      <c r="J225" s="299"/>
      <c r="K225" s="299"/>
      <c r="L225" s="299"/>
      <c r="M225" s="299"/>
      <c r="N225" s="299"/>
      <c r="O225" s="299"/>
      <c r="P225" s="300"/>
      <c r="Q225" s="235">
        <f>SUM(D225:O225)</f>
        <v>57</v>
      </c>
    </row>
    <row r="226" spans="1:17" ht="15" customHeight="1">
      <c r="A226" s="94" t="s">
        <v>101</v>
      </c>
      <c r="C226" s="81">
        <v>100</v>
      </c>
      <c r="D226" s="299">
        <v>5</v>
      </c>
      <c r="E226" s="299">
        <v>5</v>
      </c>
      <c r="F226" s="299">
        <v>5</v>
      </c>
      <c r="G226" s="299">
        <v>5</v>
      </c>
      <c r="H226" s="299">
        <v>5</v>
      </c>
      <c r="I226" s="299"/>
      <c r="J226" s="299"/>
      <c r="K226" s="299"/>
      <c r="L226" s="299"/>
      <c r="M226" s="299"/>
      <c r="N226" s="299"/>
      <c r="O226" s="299"/>
      <c r="P226" s="300"/>
      <c r="Q226" s="235">
        <f>SUM(D226:O226)</f>
        <v>25</v>
      </c>
    </row>
    <row r="227" spans="1:17" ht="15" customHeight="1">
      <c r="A227" s="94" t="s">
        <v>238</v>
      </c>
      <c r="C227" s="81">
        <v>101</v>
      </c>
      <c r="D227" s="301">
        <f>D225-D226</f>
        <v>5</v>
      </c>
      <c r="E227" s="301">
        <f t="shared" ref="E227" si="93">E225-E226</f>
        <v>5</v>
      </c>
      <c r="F227" s="301">
        <f t="shared" ref="F227" si="94">F225-F226</f>
        <v>5</v>
      </c>
      <c r="G227" s="301">
        <f t="shared" ref="G227" si="95">G225-G226</f>
        <v>5</v>
      </c>
      <c r="H227" s="301">
        <f t="shared" ref="H227" si="96">H225-H226</f>
        <v>12</v>
      </c>
      <c r="I227" s="301">
        <f t="shared" ref="I227" si="97">I225-I226</f>
        <v>0</v>
      </c>
      <c r="J227" s="301">
        <f t="shared" ref="J227" si="98">J225-J226</f>
        <v>0</v>
      </c>
      <c r="K227" s="301">
        <f t="shared" ref="K227" si="99">K225-K226</f>
        <v>0</v>
      </c>
      <c r="L227" s="301">
        <f t="shared" ref="L227" si="100">L225-L226</f>
        <v>0</v>
      </c>
      <c r="M227" s="301">
        <f t="shared" ref="M227" si="101">M225-M226</f>
        <v>0</v>
      </c>
      <c r="N227" s="301">
        <f t="shared" ref="N227" si="102">N225-N226</f>
        <v>0</v>
      </c>
      <c r="O227" s="301">
        <f t="shared" ref="O227" si="103">O225-O226</f>
        <v>0</v>
      </c>
      <c r="P227" s="300"/>
      <c r="Q227" s="301">
        <f>SUM(D227:O227)</f>
        <v>32</v>
      </c>
    </row>
    <row r="228" spans="1:17" ht="15" customHeight="1">
      <c r="C228" s="81">
        <v>102</v>
      </c>
      <c r="D228" s="77"/>
      <c r="E228" s="77"/>
      <c r="F228" s="77"/>
      <c r="G228" s="77"/>
      <c r="H228" s="77"/>
      <c r="I228" s="77"/>
      <c r="J228" s="77"/>
      <c r="K228" s="77"/>
      <c r="L228" s="77"/>
      <c r="M228" s="77"/>
      <c r="N228" s="77"/>
      <c r="O228" s="77"/>
    </row>
    <row r="229" spans="1:17" ht="15" customHeight="1">
      <c r="A229" s="297" t="s">
        <v>179</v>
      </c>
      <c r="C229" s="81">
        <v>103</v>
      </c>
      <c r="D229" s="77"/>
      <c r="E229" s="77"/>
      <c r="F229" s="77"/>
      <c r="G229" s="77"/>
      <c r="H229" s="77"/>
      <c r="I229" s="77"/>
      <c r="J229" s="77"/>
      <c r="K229" s="77"/>
      <c r="L229" s="77"/>
      <c r="M229" s="77"/>
      <c r="N229" s="77"/>
      <c r="O229" s="77"/>
    </row>
    <row r="230" spans="1:17" ht="15" customHeight="1">
      <c r="A230" s="309"/>
      <c r="C230" s="81">
        <v>104</v>
      </c>
      <c r="D230" s="77"/>
      <c r="E230" s="77"/>
      <c r="F230" s="77"/>
      <c r="G230" s="77"/>
      <c r="H230" s="77"/>
      <c r="I230" s="77"/>
      <c r="J230" s="77"/>
      <c r="K230" s="77"/>
      <c r="L230" s="77"/>
      <c r="M230" s="77"/>
      <c r="N230" s="77"/>
      <c r="O230" s="77"/>
    </row>
    <row r="231" spans="1:17" ht="15" customHeight="1">
      <c r="A231" s="94" t="s">
        <v>102</v>
      </c>
      <c r="C231" s="81">
        <v>105</v>
      </c>
      <c r="D231" s="299">
        <v>10</v>
      </c>
      <c r="E231" s="299">
        <v>10</v>
      </c>
      <c r="F231" s="299">
        <v>10</v>
      </c>
      <c r="G231" s="299">
        <v>10</v>
      </c>
      <c r="H231" s="299">
        <v>16</v>
      </c>
      <c r="I231" s="299"/>
      <c r="J231" s="299"/>
      <c r="K231" s="299"/>
      <c r="L231" s="299"/>
      <c r="M231" s="299"/>
      <c r="N231" s="299"/>
      <c r="O231" s="299"/>
      <c r="P231" s="300"/>
      <c r="Q231" s="235">
        <f>SUM(D231:O231)</f>
        <v>56</v>
      </c>
    </row>
    <row r="232" spans="1:17" ht="15" customHeight="1">
      <c r="A232" s="94" t="s">
        <v>101</v>
      </c>
      <c r="C232" s="81">
        <v>106</v>
      </c>
      <c r="D232" s="299">
        <v>5</v>
      </c>
      <c r="E232" s="299">
        <v>5</v>
      </c>
      <c r="F232" s="299">
        <v>5</v>
      </c>
      <c r="G232" s="299">
        <v>5</v>
      </c>
      <c r="H232" s="299">
        <v>4</v>
      </c>
      <c r="I232" s="299"/>
      <c r="J232" s="299"/>
      <c r="K232" s="299"/>
      <c r="L232" s="299"/>
      <c r="M232" s="299"/>
      <c r="N232" s="299"/>
      <c r="O232" s="299"/>
      <c r="P232" s="300"/>
      <c r="Q232" s="235">
        <f>SUM(D232:O232)</f>
        <v>24</v>
      </c>
    </row>
    <row r="233" spans="1:17" ht="15" customHeight="1">
      <c r="A233" s="94" t="s">
        <v>238</v>
      </c>
      <c r="C233" s="81">
        <v>107</v>
      </c>
      <c r="D233" s="301">
        <f>D231-D232</f>
        <v>5</v>
      </c>
      <c r="E233" s="301">
        <f t="shared" ref="E233" si="104">E231-E232</f>
        <v>5</v>
      </c>
      <c r="F233" s="301">
        <f t="shared" ref="F233" si="105">F231-F232</f>
        <v>5</v>
      </c>
      <c r="G233" s="301">
        <f t="shared" ref="G233" si="106">G231-G232</f>
        <v>5</v>
      </c>
      <c r="H233" s="301">
        <f t="shared" ref="H233" si="107">H231-H232</f>
        <v>12</v>
      </c>
      <c r="I233" s="301">
        <f t="shared" ref="I233" si="108">I231-I232</f>
        <v>0</v>
      </c>
      <c r="J233" s="301">
        <f t="shared" ref="J233" si="109">J231-J232</f>
        <v>0</v>
      </c>
      <c r="K233" s="301">
        <f t="shared" ref="K233" si="110">K231-K232</f>
        <v>0</v>
      </c>
      <c r="L233" s="301">
        <f t="shared" ref="L233" si="111">L231-L232</f>
        <v>0</v>
      </c>
      <c r="M233" s="301">
        <f t="shared" ref="M233" si="112">M231-M232</f>
        <v>0</v>
      </c>
      <c r="N233" s="301">
        <f t="shared" ref="N233" si="113">N231-N232</f>
        <v>0</v>
      </c>
      <c r="O233" s="301">
        <f t="shared" ref="O233" si="114">O231-O232</f>
        <v>0</v>
      </c>
      <c r="P233" s="300"/>
      <c r="Q233" s="301">
        <f>SUM(D233:O233)</f>
        <v>32</v>
      </c>
    </row>
    <row r="234" spans="1:17" ht="15" customHeight="1">
      <c r="C234" s="81">
        <v>108</v>
      </c>
      <c r="D234" s="77"/>
      <c r="E234" s="77"/>
      <c r="F234" s="77"/>
      <c r="G234" s="77"/>
      <c r="H234" s="77"/>
      <c r="I234" s="77"/>
      <c r="J234" s="77"/>
      <c r="K234" s="77"/>
      <c r="L234" s="77"/>
      <c r="M234" s="77"/>
      <c r="N234" s="77"/>
      <c r="O234" s="77"/>
    </row>
    <row r="235" spans="1:17" ht="15" customHeight="1">
      <c r="C235" s="81">
        <v>109</v>
      </c>
      <c r="D235" s="77"/>
      <c r="E235" s="77"/>
      <c r="F235" s="77"/>
      <c r="G235" s="77"/>
      <c r="H235" s="77"/>
      <c r="I235" s="77"/>
      <c r="J235" s="77"/>
      <c r="K235" s="77"/>
      <c r="L235" s="77"/>
      <c r="M235" s="77"/>
      <c r="N235" s="77"/>
      <c r="O235" s="77"/>
    </row>
    <row r="236" spans="1:17" ht="15" customHeight="1">
      <c r="A236" s="73" t="s">
        <v>180</v>
      </c>
      <c r="C236" s="81">
        <v>110</v>
      </c>
      <c r="D236" s="75">
        <f>D4</f>
        <v>41851</v>
      </c>
      <c r="E236" s="75">
        <f t="shared" ref="E236:O236" si="115">E4</f>
        <v>41882</v>
      </c>
      <c r="F236" s="75">
        <f t="shared" si="115"/>
        <v>41912</v>
      </c>
      <c r="G236" s="75">
        <f t="shared" si="115"/>
        <v>41943</v>
      </c>
      <c r="H236" s="75">
        <f t="shared" si="115"/>
        <v>41973</v>
      </c>
      <c r="I236" s="75">
        <f t="shared" si="115"/>
        <v>42004</v>
      </c>
      <c r="J236" s="75">
        <f t="shared" si="115"/>
        <v>42035</v>
      </c>
      <c r="K236" s="75">
        <f t="shared" si="115"/>
        <v>42063</v>
      </c>
      <c r="L236" s="75">
        <f t="shared" si="115"/>
        <v>42094</v>
      </c>
      <c r="M236" s="75">
        <f t="shared" si="115"/>
        <v>42124</v>
      </c>
      <c r="N236" s="75">
        <f t="shared" si="115"/>
        <v>42155</v>
      </c>
      <c r="O236" s="75">
        <f t="shared" si="115"/>
        <v>42185</v>
      </c>
      <c r="Q236" s="120" t="s">
        <v>3</v>
      </c>
    </row>
    <row r="237" spans="1:17" ht="15" customHeight="1">
      <c r="C237" s="81">
        <v>111</v>
      </c>
      <c r="D237" s="77"/>
      <c r="E237" s="77"/>
      <c r="F237" s="77"/>
      <c r="G237" s="77"/>
      <c r="H237" s="77"/>
      <c r="I237" s="77"/>
      <c r="J237" s="77"/>
      <c r="K237" s="77"/>
      <c r="L237" s="77"/>
      <c r="M237" s="77"/>
      <c r="N237" s="77"/>
      <c r="O237" s="77"/>
    </row>
    <row r="238" spans="1:17" ht="15" customHeight="1">
      <c r="A238" s="297" t="s">
        <v>174</v>
      </c>
      <c r="C238" s="81">
        <v>112</v>
      </c>
      <c r="D238" s="77"/>
      <c r="E238" s="77"/>
      <c r="F238" s="77"/>
      <c r="G238" s="77"/>
      <c r="H238" s="77"/>
      <c r="I238" s="77"/>
      <c r="J238" s="77"/>
      <c r="K238" s="77"/>
      <c r="L238" s="77"/>
      <c r="M238" s="77"/>
      <c r="N238" s="77"/>
      <c r="O238" s="77"/>
    </row>
    <row r="239" spans="1:17" ht="15" customHeight="1">
      <c r="A239" s="309"/>
      <c r="C239" s="81">
        <v>113</v>
      </c>
      <c r="D239" s="77"/>
      <c r="E239" s="77"/>
      <c r="F239" s="77"/>
      <c r="G239" s="77"/>
      <c r="H239" s="77"/>
      <c r="I239" s="77"/>
      <c r="J239" s="77"/>
      <c r="K239" s="77"/>
      <c r="L239" s="77"/>
      <c r="M239" s="77"/>
      <c r="N239" s="77"/>
      <c r="O239" s="77"/>
    </row>
    <row r="240" spans="1:17" ht="15" customHeight="1">
      <c r="A240" s="94" t="s">
        <v>102</v>
      </c>
      <c r="C240" s="81">
        <v>114</v>
      </c>
      <c r="D240" s="299">
        <v>8</v>
      </c>
      <c r="E240" s="299">
        <v>8</v>
      </c>
      <c r="F240" s="299">
        <v>8</v>
      </c>
      <c r="G240" s="299">
        <v>8</v>
      </c>
      <c r="H240" s="299">
        <v>12</v>
      </c>
      <c r="I240" s="299">
        <v>8</v>
      </c>
      <c r="J240" s="299">
        <v>8</v>
      </c>
      <c r="K240" s="299">
        <v>8</v>
      </c>
      <c r="L240" s="299">
        <v>8</v>
      </c>
      <c r="M240" s="299">
        <v>8</v>
      </c>
      <c r="N240" s="299">
        <v>8</v>
      </c>
      <c r="O240" s="299">
        <v>8</v>
      </c>
      <c r="P240" s="300"/>
      <c r="Q240" s="235">
        <f>SUM(D240:O240)</f>
        <v>100</v>
      </c>
    </row>
    <row r="241" spans="1:17" ht="15" customHeight="1">
      <c r="A241" s="94" t="s">
        <v>101</v>
      </c>
      <c r="C241" s="81">
        <v>115</v>
      </c>
      <c r="D241" s="299">
        <v>5</v>
      </c>
      <c r="E241" s="299">
        <v>5</v>
      </c>
      <c r="F241" s="299">
        <v>5</v>
      </c>
      <c r="G241" s="299">
        <v>5</v>
      </c>
      <c r="H241" s="299">
        <v>5</v>
      </c>
      <c r="I241" s="299">
        <v>5</v>
      </c>
      <c r="J241" s="299">
        <v>5</v>
      </c>
      <c r="K241" s="299">
        <v>5</v>
      </c>
      <c r="L241" s="299">
        <v>5</v>
      </c>
      <c r="M241" s="299">
        <v>5</v>
      </c>
      <c r="N241" s="299">
        <v>5</v>
      </c>
      <c r="O241" s="299">
        <v>5</v>
      </c>
      <c r="P241" s="300"/>
      <c r="Q241" s="235">
        <f>SUM(D241:O241)</f>
        <v>60</v>
      </c>
    </row>
    <row r="242" spans="1:17" ht="15" customHeight="1">
      <c r="A242" s="94" t="s">
        <v>238</v>
      </c>
      <c r="C242" s="81">
        <v>116</v>
      </c>
      <c r="D242" s="301">
        <f>D240-D241</f>
        <v>3</v>
      </c>
      <c r="E242" s="301">
        <f t="shared" ref="E242" si="116">E240-E241</f>
        <v>3</v>
      </c>
      <c r="F242" s="301">
        <f t="shared" ref="F242" si="117">F240-F241</f>
        <v>3</v>
      </c>
      <c r="G242" s="301">
        <f t="shared" ref="G242" si="118">G240-G241</f>
        <v>3</v>
      </c>
      <c r="H242" s="301">
        <f t="shared" ref="H242" si="119">H240-H241</f>
        <v>7</v>
      </c>
      <c r="I242" s="301">
        <f t="shared" ref="I242" si="120">I240-I241</f>
        <v>3</v>
      </c>
      <c r="J242" s="301">
        <f t="shared" ref="J242" si="121">J240-J241</f>
        <v>3</v>
      </c>
      <c r="K242" s="301">
        <f t="shared" ref="K242" si="122">K240-K241</f>
        <v>3</v>
      </c>
      <c r="L242" s="301">
        <f t="shared" ref="L242" si="123">L240-L241</f>
        <v>3</v>
      </c>
      <c r="M242" s="301">
        <f t="shared" ref="M242" si="124">M240-M241</f>
        <v>3</v>
      </c>
      <c r="N242" s="301">
        <f t="shared" ref="N242" si="125">N240-N241</f>
        <v>3</v>
      </c>
      <c r="O242" s="301">
        <f t="shared" ref="O242" si="126">O240-O241</f>
        <v>3</v>
      </c>
      <c r="P242" s="300"/>
      <c r="Q242" s="301">
        <f>SUM(D242:O242)</f>
        <v>40</v>
      </c>
    </row>
    <row r="243" spans="1:17" ht="15" customHeight="1">
      <c r="C243" s="81">
        <v>117</v>
      </c>
      <c r="D243" s="77"/>
      <c r="E243" s="77"/>
      <c r="F243" s="77"/>
      <c r="G243" s="77"/>
      <c r="H243" s="77"/>
      <c r="I243" s="77"/>
      <c r="J243" s="77"/>
      <c r="K243" s="77"/>
      <c r="L243" s="77"/>
      <c r="M243" s="77"/>
      <c r="N243" s="77"/>
      <c r="O243" s="77"/>
    </row>
    <row r="244" spans="1:17" ht="15" customHeight="1">
      <c r="A244" s="297" t="s">
        <v>176</v>
      </c>
      <c r="C244" s="81">
        <v>118</v>
      </c>
      <c r="D244" s="77"/>
      <c r="E244" s="77"/>
      <c r="F244" s="77"/>
      <c r="G244" s="77"/>
      <c r="H244" s="77"/>
      <c r="I244" s="77"/>
      <c r="J244" s="77"/>
      <c r="K244" s="77"/>
      <c r="L244" s="77"/>
      <c r="M244" s="77"/>
      <c r="N244" s="77"/>
      <c r="O244" s="77"/>
    </row>
    <row r="245" spans="1:17" ht="15" customHeight="1">
      <c r="A245" s="309"/>
      <c r="C245" s="81">
        <v>119</v>
      </c>
      <c r="D245" s="77"/>
      <c r="E245" s="77"/>
      <c r="F245" s="77"/>
      <c r="G245" s="77"/>
      <c r="H245" s="77"/>
      <c r="I245" s="77"/>
      <c r="J245" s="77"/>
      <c r="K245" s="77"/>
      <c r="L245" s="77"/>
      <c r="M245" s="77"/>
      <c r="N245" s="77"/>
      <c r="O245" s="77"/>
    </row>
    <row r="246" spans="1:17" ht="15" customHeight="1">
      <c r="A246" s="94" t="s">
        <v>102</v>
      </c>
      <c r="C246" s="81">
        <v>120</v>
      </c>
      <c r="D246" s="299">
        <v>7</v>
      </c>
      <c r="E246" s="299">
        <v>7</v>
      </c>
      <c r="F246" s="299">
        <v>7</v>
      </c>
      <c r="G246" s="299">
        <v>7</v>
      </c>
      <c r="H246" s="299">
        <v>11</v>
      </c>
      <c r="I246" s="299">
        <v>7</v>
      </c>
      <c r="J246" s="299">
        <v>7</v>
      </c>
      <c r="K246" s="299">
        <v>7</v>
      </c>
      <c r="L246" s="299">
        <v>7</v>
      </c>
      <c r="M246" s="299">
        <v>7</v>
      </c>
      <c r="N246" s="299">
        <v>7</v>
      </c>
      <c r="O246" s="299">
        <v>7</v>
      </c>
      <c r="P246" s="300"/>
      <c r="Q246" s="235">
        <f>SUM(D246:O246)</f>
        <v>88</v>
      </c>
    </row>
    <row r="247" spans="1:17" ht="15" customHeight="1">
      <c r="A247" s="94" t="s">
        <v>101</v>
      </c>
      <c r="C247" s="81">
        <v>121</v>
      </c>
      <c r="D247" s="299">
        <v>5</v>
      </c>
      <c r="E247" s="299">
        <v>5</v>
      </c>
      <c r="F247" s="299">
        <v>5</v>
      </c>
      <c r="G247" s="299">
        <v>5</v>
      </c>
      <c r="H247" s="299">
        <v>5</v>
      </c>
      <c r="I247" s="299">
        <v>5</v>
      </c>
      <c r="J247" s="299">
        <v>5</v>
      </c>
      <c r="K247" s="299">
        <v>5</v>
      </c>
      <c r="L247" s="299">
        <v>5</v>
      </c>
      <c r="M247" s="299">
        <v>5</v>
      </c>
      <c r="N247" s="299">
        <v>5</v>
      </c>
      <c r="O247" s="299">
        <v>5</v>
      </c>
      <c r="P247" s="300"/>
      <c r="Q247" s="235">
        <f>SUM(D247:O247)</f>
        <v>60</v>
      </c>
    </row>
    <row r="248" spans="1:17" ht="15" customHeight="1">
      <c r="A248" s="94" t="s">
        <v>238</v>
      </c>
      <c r="C248" s="81">
        <v>122</v>
      </c>
      <c r="D248" s="301">
        <f>D246-D247</f>
        <v>2</v>
      </c>
      <c r="E248" s="301">
        <f t="shared" ref="E248" si="127">E246-E247</f>
        <v>2</v>
      </c>
      <c r="F248" s="301">
        <f t="shared" ref="F248" si="128">F246-F247</f>
        <v>2</v>
      </c>
      <c r="G248" s="301">
        <f t="shared" ref="G248" si="129">G246-G247</f>
        <v>2</v>
      </c>
      <c r="H248" s="301">
        <f t="shared" ref="H248" si="130">H246-H247</f>
        <v>6</v>
      </c>
      <c r="I248" s="301">
        <f t="shared" ref="I248" si="131">I246-I247</f>
        <v>2</v>
      </c>
      <c r="J248" s="301">
        <f t="shared" ref="J248" si="132">J246-J247</f>
        <v>2</v>
      </c>
      <c r="K248" s="301">
        <f t="shared" ref="K248" si="133">K246-K247</f>
        <v>2</v>
      </c>
      <c r="L248" s="301">
        <f t="shared" ref="L248" si="134">L246-L247</f>
        <v>2</v>
      </c>
      <c r="M248" s="301">
        <f t="shared" ref="M248" si="135">M246-M247</f>
        <v>2</v>
      </c>
      <c r="N248" s="301">
        <f t="shared" ref="N248" si="136">N246-N247</f>
        <v>2</v>
      </c>
      <c r="O248" s="301">
        <f t="shared" ref="O248" si="137">O246-O247</f>
        <v>2</v>
      </c>
      <c r="P248" s="300"/>
      <c r="Q248" s="301">
        <f>SUM(D248:O248)</f>
        <v>28</v>
      </c>
    </row>
    <row r="249" spans="1:17" ht="15" customHeight="1">
      <c r="C249" s="81">
        <v>123</v>
      </c>
      <c r="D249" s="77"/>
      <c r="E249" s="77"/>
      <c r="F249" s="77"/>
      <c r="G249" s="77"/>
      <c r="H249" s="77"/>
      <c r="I249" s="77"/>
      <c r="J249" s="77"/>
      <c r="K249" s="77"/>
      <c r="L249" s="77"/>
      <c r="M249" s="77"/>
      <c r="N249" s="77"/>
      <c r="O249" s="77"/>
    </row>
    <row r="250" spans="1:17" ht="15" customHeight="1">
      <c r="A250" s="297" t="s">
        <v>177</v>
      </c>
      <c r="C250" s="81">
        <v>124</v>
      </c>
      <c r="D250" s="77"/>
      <c r="E250" s="77"/>
      <c r="F250" s="77"/>
      <c r="G250" s="77"/>
      <c r="H250" s="77"/>
      <c r="I250" s="77"/>
      <c r="J250" s="77"/>
      <c r="K250" s="77"/>
      <c r="L250" s="77"/>
      <c r="M250" s="77"/>
      <c r="N250" s="77"/>
      <c r="O250" s="77"/>
    </row>
    <row r="251" spans="1:17" ht="15" customHeight="1">
      <c r="A251" s="309"/>
      <c r="C251" s="81">
        <v>125</v>
      </c>
      <c r="D251" s="77"/>
      <c r="E251" s="77"/>
      <c r="F251" s="77"/>
      <c r="G251" s="77"/>
      <c r="H251" s="77"/>
      <c r="I251" s="77"/>
      <c r="J251" s="77"/>
      <c r="K251" s="77"/>
      <c r="L251" s="77"/>
      <c r="M251" s="77"/>
      <c r="N251" s="77"/>
      <c r="O251" s="77"/>
    </row>
    <row r="252" spans="1:17" ht="15" customHeight="1">
      <c r="A252" s="94" t="s">
        <v>102</v>
      </c>
      <c r="C252" s="81">
        <v>126</v>
      </c>
      <c r="D252" s="299">
        <v>9</v>
      </c>
      <c r="E252" s="299">
        <v>9</v>
      </c>
      <c r="F252" s="299">
        <v>9</v>
      </c>
      <c r="G252" s="299">
        <v>9</v>
      </c>
      <c r="H252" s="299">
        <v>10</v>
      </c>
      <c r="I252" s="299">
        <v>9</v>
      </c>
      <c r="J252" s="299">
        <v>9</v>
      </c>
      <c r="K252" s="299">
        <v>9</v>
      </c>
      <c r="L252" s="299">
        <v>9</v>
      </c>
      <c r="M252" s="299">
        <v>9</v>
      </c>
      <c r="N252" s="299">
        <v>9</v>
      </c>
      <c r="O252" s="299">
        <v>9</v>
      </c>
      <c r="P252" s="300"/>
      <c r="Q252" s="235">
        <f>SUM(D252:O252)</f>
        <v>109</v>
      </c>
    </row>
    <row r="253" spans="1:17" ht="15" customHeight="1">
      <c r="A253" s="94" t="s">
        <v>101</v>
      </c>
      <c r="C253" s="81">
        <v>127</v>
      </c>
      <c r="D253" s="299">
        <v>5</v>
      </c>
      <c r="E253" s="299">
        <v>5</v>
      </c>
      <c r="F253" s="299">
        <v>5</v>
      </c>
      <c r="G253" s="299">
        <v>5</v>
      </c>
      <c r="H253" s="299">
        <v>5</v>
      </c>
      <c r="I253" s="299">
        <v>5</v>
      </c>
      <c r="J253" s="299">
        <v>5</v>
      </c>
      <c r="K253" s="299">
        <v>5</v>
      </c>
      <c r="L253" s="299">
        <v>5</v>
      </c>
      <c r="M253" s="299">
        <v>5</v>
      </c>
      <c r="N253" s="299">
        <v>5</v>
      </c>
      <c r="O253" s="299">
        <v>5</v>
      </c>
      <c r="P253" s="300"/>
      <c r="Q253" s="235">
        <f>SUM(D253:O253)</f>
        <v>60</v>
      </c>
    </row>
    <row r="254" spans="1:17" ht="15" customHeight="1">
      <c r="A254" s="94" t="s">
        <v>238</v>
      </c>
      <c r="C254" s="81">
        <v>128</v>
      </c>
      <c r="D254" s="301">
        <f>D252-D253</f>
        <v>4</v>
      </c>
      <c r="E254" s="301">
        <f t="shared" ref="E254" si="138">E252-E253</f>
        <v>4</v>
      </c>
      <c r="F254" s="301">
        <f t="shared" ref="F254" si="139">F252-F253</f>
        <v>4</v>
      </c>
      <c r="G254" s="301">
        <f t="shared" ref="G254" si="140">G252-G253</f>
        <v>4</v>
      </c>
      <c r="H254" s="301">
        <f t="shared" ref="H254" si="141">H252-H253</f>
        <v>5</v>
      </c>
      <c r="I254" s="301">
        <f t="shared" ref="I254" si="142">I252-I253</f>
        <v>4</v>
      </c>
      <c r="J254" s="301">
        <f t="shared" ref="J254" si="143">J252-J253</f>
        <v>4</v>
      </c>
      <c r="K254" s="301">
        <f t="shared" ref="K254" si="144">K252-K253</f>
        <v>4</v>
      </c>
      <c r="L254" s="301">
        <f t="shared" ref="L254" si="145">L252-L253</f>
        <v>4</v>
      </c>
      <c r="M254" s="301">
        <f t="shared" ref="M254" si="146">M252-M253</f>
        <v>4</v>
      </c>
      <c r="N254" s="301">
        <f t="shared" ref="N254" si="147">N252-N253</f>
        <v>4</v>
      </c>
      <c r="O254" s="301">
        <f t="shared" ref="O254" si="148">O252-O253</f>
        <v>4</v>
      </c>
      <c r="P254" s="300"/>
      <c r="Q254" s="301">
        <f>SUM(D254:O254)</f>
        <v>49</v>
      </c>
    </row>
    <row r="255" spans="1:17" ht="15" customHeight="1">
      <c r="C255" s="81">
        <v>129</v>
      </c>
      <c r="D255" s="77"/>
      <c r="E255" s="77"/>
      <c r="F255" s="77"/>
      <c r="G255" s="77"/>
      <c r="H255" s="77"/>
      <c r="I255" s="77"/>
      <c r="J255" s="77"/>
      <c r="K255" s="77"/>
      <c r="L255" s="77"/>
      <c r="M255" s="77"/>
      <c r="N255" s="77"/>
      <c r="O255" s="77"/>
    </row>
    <row r="256" spans="1:17" ht="15" customHeight="1">
      <c r="A256" s="297" t="s">
        <v>178</v>
      </c>
      <c r="C256" s="81">
        <v>130</v>
      </c>
      <c r="D256" s="77"/>
      <c r="E256" s="77"/>
      <c r="F256" s="77"/>
      <c r="G256" s="77"/>
      <c r="H256" s="77"/>
      <c r="I256" s="77"/>
      <c r="J256" s="77"/>
      <c r="K256" s="77"/>
      <c r="L256" s="77"/>
      <c r="M256" s="77"/>
      <c r="N256" s="77"/>
      <c r="O256" s="77"/>
    </row>
    <row r="257" spans="1:17" ht="15" customHeight="1">
      <c r="A257" s="309"/>
      <c r="C257" s="81">
        <v>131</v>
      </c>
      <c r="D257" s="77"/>
      <c r="E257" s="77"/>
      <c r="F257" s="77"/>
      <c r="G257" s="77"/>
      <c r="H257" s="77"/>
      <c r="I257" s="77"/>
      <c r="J257" s="77"/>
      <c r="K257" s="77"/>
      <c r="L257" s="77"/>
      <c r="M257" s="77"/>
      <c r="N257" s="77"/>
      <c r="O257" s="77"/>
    </row>
    <row r="258" spans="1:17" ht="15" customHeight="1">
      <c r="A258" s="94" t="s">
        <v>102</v>
      </c>
      <c r="C258" s="81">
        <v>132</v>
      </c>
      <c r="D258" s="299">
        <v>10</v>
      </c>
      <c r="E258" s="299">
        <v>10</v>
      </c>
      <c r="F258" s="299">
        <v>10</v>
      </c>
      <c r="G258" s="299">
        <v>10</v>
      </c>
      <c r="H258" s="299">
        <v>9</v>
      </c>
      <c r="I258" s="299">
        <v>10</v>
      </c>
      <c r="J258" s="299">
        <v>10</v>
      </c>
      <c r="K258" s="299">
        <v>10</v>
      </c>
      <c r="L258" s="299">
        <v>10</v>
      </c>
      <c r="M258" s="299">
        <v>10</v>
      </c>
      <c r="N258" s="299">
        <v>10</v>
      </c>
      <c r="O258" s="299">
        <v>10</v>
      </c>
      <c r="P258" s="300"/>
      <c r="Q258" s="235">
        <f>SUM(D258:O258)</f>
        <v>119</v>
      </c>
    </row>
    <row r="259" spans="1:17" ht="15" customHeight="1">
      <c r="A259" s="94" t="s">
        <v>101</v>
      </c>
      <c r="C259" s="81">
        <v>133</v>
      </c>
      <c r="D259" s="299">
        <v>5</v>
      </c>
      <c r="E259" s="299">
        <v>5</v>
      </c>
      <c r="F259" s="299">
        <v>5</v>
      </c>
      <c r="G259" s="299">
        <v>5</v>
      </c>
      <c r="H259" s="299">
        <v>5</v>
      </c>
      <c r="I259" s="299">
        <v>5</v>
      </c>
      <c r="J259" s="299">
        <v>5</v>
      </c>
      <c r="K259" s="299">
        <v>5</v>
      </c>
      <c r="L259" s="299">
        <v>5</v>
      </c>
      <c r="M259" s="299">
        <v>5</v>
      </c>
      <c r="N259" s="299">
        <v>5</v>
      </c>
      <c r="O259" s="299">
        <v>5</v>
      </c>
      <c r="P259" s="300"/>
      <c r="Q259" s="235">
        <f>SUM(D259:O259)</f>
        <v>60</v>
      </c>
    </row>
    <row r="260" spans="1:17" ht="15" customHeight="1">
      <c r="A260" s="94" t="s">
        <v>238</v>
      </c>
      <c r="C260" s="81">
        <v>134</v>
      </c>
      <c r="D260" s="301">
        <f>D258-D259</f>
        <v>5</v>
      </c>
      <c r="E260" s="301">
        <f t="shared" ref="E260" si="149">E258-E259</f>
        <v>5</v>
      </c>
      <c r="F260" s="301">
        <f t="shared" ref="F260" si="150">F258-F259</f>
        <v>5</v>
      </c>
      <c r="G260" s="301">
        <f t="shared" ref="G260" si="151">G258-G259</f>
        <v>5</v>
      </c>
      <c r="H260" s="301">
        <f t="shared" ref="H260" si="152">H258-H259</f>
        <v>4</v>
      </c>
      <c r="I260" s="301">
        <f t="shared" ref="I260" si="153">I258-I259</f>
        <v>5</v>
      </c>
      <c r="J260" s="301">
        <f t="shared" ref="J260" si="154">J258-J259</f>
        <v>5</v>
      </c>
      <c r="K260" s="301">
        <f t="shared" ref="K260" si="155">K258-K259</f>
        <v>5</v>
      </c>
      <c r="L260" s="301">
        <f t="shared" ref="L260" si="156">L258-L259</f>
        <v>5</v>
      </c>
      <c r="M260" s="301">
        <f t="shared" ref="M260" si="157">M258-M259</f>
        <v>5</v>
      </c>
      <c r="N260" s="301">
        <f t="shared" ref="N260" si="158">N258-N259</f>
        <v>5</v>
      </c>
      <c r="O260" s="301">
        <f t="shared" ref="O260" si="159">O258-O259</f>
        <v>5</v>
      </c>
      <c r="P260" s="300"/>
      <c r="Q260" s="301">
        <f>SUM(D260:O260)</f>
        <v>59</v>
      </c>
    </row>
    <row r="261" spans="1:17" ht="15" customHeight="1">
      <c r="C261" s="81">
        <v>135</v>
      </c>
      <c r="D261" s="77"/>
      <c r="E261" s="77"/>
      <c r="F261" s="77"/>
      <c r="G261" s="77"/>
      <c r="H261" s="77"/>
      <c r="I261" s="77"/>
      <c r="J261" s="77"/>
      <c r="K261" s="77"/>
      <c r="L261" s="77"/>
      <c r="M261" s="77"/>
      <c r="N261" s="77"/>
      <c r="O261" s="77"/>
    </row>
    <row r="262" spans="1:17" ht="15" customHeight="1">
      <c r="A262" s="297" t="s">
        <v>179</v>
      </c>
      <c r="C262" s="81">
        <v>136</v>
      </c>
      <c r="D262" s="77"/>
      <c r="E262" s="77"/>
      <c r="F262" s="77"/>
      <c r="G262" s="77"/>
      <c r="H262" s="77"/>
      <c r="I262" s="77"/>
      <c r="J262" s="77"/>
      <c r="K262" s="77"/>
      <c r="L262" s="77"/>
      <c r="M262" s="77"/>
      <c r="N262" s="77"/>
      <c r="O262" s="77"/>
    </row>
    <row r="263" spans="1:17" ht="15" customHeight="1">
      <c r="A263" s="309"/>
      <c r="C263" s="81">
        <v>137</v>
      </c>
      <c r="D263" s="77"/>
      <c r="E263" s="77"/>
      <c r="F263" s="77"/>
      <c r="G263" s="77"/>
      <c r="H263" s="77"/>
      <c r="I263" s="77"/>
      <c r="J263" s="77"/>
      <c r="K263" s="77"/>
      <c r="L263" s="77"/>
      <c r="M263" s="77"/>
      <c r="N263" s="77"/>
      <c r="O263" s="77"/>
    </row>
    <row r="264" spans="1:17" ht="15" customHeight="1">
      <c r="A264" s="94" t="s">
        <v>102</v>
      </c>
      <c r="C264" s="81">
        <v>138</v>
      </c>
      <c r="D264" s="299">
        <v>20</v>
      </c>
      <c r="E264" s="299">
        <v>20</v>
      </c>
      <c r="F264" s="299">
        <v>20</v>
      </c>
      <c r="G264" s="299">
        <v>20</v>
      </c>
      <c r="H264" s="299">
        <v>20</v>
      </c>
      <c r="I264" s="299">
        <v>11</v>
      </c>
      <c r="J264" s="299">
        <v>11</v>
      </c>
      <c r="K264" s="299">
        <v>11</v>
      </c>
      <c r="L264" s="299">
        <v>11</v>
      </c>
      <c r="M264" s="299">
        <v>11</v>
      </c>
      <c r="N264" s="299">
        <v>11</v>
      </c>
      <c r="O264" s="299">
        <v>11</v>
      </c>
      <c r="P264" s="300"/>
      <c r="Q264" s="235">
        <f>SUM(D264:O264)</f>
        <v>177</v>
      </c>
    </row>
    <row r="265" spans="1:17" ht="15" customHeight="1">
      <c r="A265" s="94" t="s">
        <v>101</v>
      </c>
      <c r="C265" s="81">
        <v>139</v>
      </c>
      <c r="D265" s="299">
        <v>5</v>
      </c>
      <c r="E265" s="299">
        <v>5</v>
      </c>
      <c r="F265" s="299">
        <v>5</v>
      </c>
      <c r="G265" s="299">
        <v>5</v>
      </c>
      <c r="H265" s="299">
        <v>5</v>
      </c>
      <c r="I265" s="299">
        <v>5</v>
      </c>
      <c r="J265" s="299">
        <v>5</v>
      </c>
      <c r="K265" s="299">
        <v>5</v>
      </c>
      <c r="L265" s="299">
        <v>5</v>
      </c>
      <c r="M265" s="299">
        <v>5</v>
      </c>
      <c r="N265" s="299">
        <v>5</v>
      </c>
      <c r="O265" s="299">
        <v>5</v>
      </c>
      <c r="P265" s="300"/>
      <c r="Q265" s="235">
        <f>SUM(D265:O265)</f>
        <v>60</v>
      </c>
    </row>
    <row r="266" spans="1:17" ht="15" customHeight="1">
      <c r="A266" s="94" t="s">
        <v>238</v>
      </c>
      <c r="C266" s="81">
        <v>140</v>
      </c>
      <c r="D266" s="301">
        <f>D264-D265</f>
        <v>15</v>
      </c>
      <c r="E266" s="301">
        <f t="shared" ref="E266" si="160">E264-E265</f>
        <v>15</v>
      </c>
      <c r="F266" s="301">
        <f t="shared" ref="F266" si="161">F264-F265</f>
        <v>15</v>
      </c>
      <c r="G266" s="301">
        <f t="shared" ref="G266" si="162">G264-G265</f>
        <v>15</v>
      </c>
      <c r="H266" s="301">
        <f t="shared" ref="H266" si="163">H264-H265</f>
        <v>15</v>
      </c>
      <c r="I266" s="301">
        <f t="shared" ref="I266" si="164">I264-I265</f>
        <v>6</v>
      </c>
      <c r="J266" s="301">
        <f t="shared" ref="J266" si="165">J264-J265</f>
        <v>6</v>
      </c>
      <c r="K266" s="301">
        <f t="shared" ref="K266" si="166">K264-K265</f>
        <v>6</v>
      </c>
      <c r="L266" s="301">
        <f t="shared" ref="L266" si="167">L264-L265</f>
        <v>6</v>
      </c>
      <c r="M266" s="301">
        <f t="shared" ref="M266" si="168">M264-M265</f>
        <v>6</v>
      </c>
      <c r="N266" s="301">
        <f t="shared" ref="N266" si="169">N264-N265</f>
        <v>6</v>
      </c>
      <c r="O266" s="301">
        <f t="shared" ref="O266" si="170">O264-O265</f>
        <v>6</v>
      </c>
      <c r="P266" s="300"/>
      <c r="Q266" s="301">
        <f>SUM(D266:O266)</f>
        <v>117</v>
      </c>
    </row>
    <row r="267" spans="1:17" ht="15" customHeight="1">
      <c r="C267" s="81">
        <v>141</v>
      </c>
      <c r="D267" s="77"/>
      <c r="E267" s="77"/>
      <c r="F267" s="77"/>
      <c r="G267" s="77"/>
      <c r="H267" s="77"/>
      <c r="I267" s="77"/>
      <c r="J267" s="77"/>
      <c r="K267" s="77"/>
      <c r="L267" s="77"/>
      <c r="M267" s="77"/>
      <c r="N267" s="77"/>
      <c r="O267" s="77"/>
    </row>
    <row r="268" spans="1:17" ht="15" customHeight="1">
      <c r="C268" s="81">
        <v>142</v>
      </c>
      <c r="D268" s="77"/>
      <c r="E268" s="77"/>
      <c r="F268" s="77"/>
      <c r="G268" s="77"/>
      <c r="H268" s="77"/>
      <c r="I268" s="77"/>
      <c r="J268" s="77"/>
      <c r="K268" s="77"/>
      <c r="L268" s="77"/>
      <c r="M268" s="77"/>
      <c r="N268" s="77"/>
      <c r="O268" s="77"/>
    </row>
    <row r="269" spans="1:17" ht="15" customHeight="1">
      <c r="A269" s="73" t="s">
        <v>185</v>
      </c>
      <c r="C269" s="81">
        <v>143</v>
      </c>
      <c r="D269" s="75">
        <f>D4</f>
        <v>41851</v>
      </c>
      <c r="E269" s="75">
        <f t="shared" ref="E269:O269" si="171">E4</f>
        <v>41882</v>
      </c>
      <c r="F269" s="75">
        <f t="shared" si="171"/>
        <v>41912</v>
      </c>
      <c r="G269" s="75">
        <f t="shared" si="171"/>
        <v>41943</v>
      </c>
      <c r="H269" s="75">
        <f t="shared" si="171"/>
        <v>41973</v>
      </c>
      <c r="I269" s="75">
        <f t="shared" si="171"/>
        <v>42004</v>
      </c>
      <c r="J269" s="75">
        <f t="shared" si="171"/>
        <v>42035</v>
      </c>
      <c r="K269" s="75">
        <f t="shared" si="171"/>
        <v>42063</v>
      </c>
      <c r="L269" s="75">
        <f t="shared" si="171"/>
        <v>42094</v>
      </c>
      <c r="M269" s="75">
        <f t="shared" si="171"/>
        <v>42124</v>
      </c>
      <c r="N269" s="75">
        <f t="shared" si="171"/>
        <v>42155</v>
      </c>
      <c r="O269" s="75">
        <f t="shared" si="171"/>
        <v>42185</v>
      </c>
      <c r="Q269" s="120"/>
    </row>
    <row r="270" spans="1:17" ht="15" customHeight="1">
      <c r="C270" s="81">
        <v>144</v>
      </c>
      <c r="D270" s="77"/>
      <c r="E270" s="77"/>
      <c r="F270" s="77"/>
      <c r="G270" s="77"/>
      <c r="H270" s="77"/>
      <c r="I270" s="77"/>
      <c r="J270" s="77"/>
      <c r="K270" s="77"/>
      <c r="L270" s="77"/>
      <c r="M270" s="77"/>
      <c r="N270" s="77"/>
      <c r="O270" s="77"/>
    </row>
    <row r="271" spans="1:17" ht="15" customHeight="1">
      <c r="A271" s="94" t="s">
        <v>240</v>
      </c>
      <c r="C271" s="81">
        <v>145</v>
      </c>
      <c r="D271" s="77">
        <f>D133+D134</f>
        <v>927</v>
      </c>
      <c r="E271" s="77">
        <f>D271+E133+E134</f>
        <v>1977</v>
      </c>
      <c r="F271" s="77">
        <f t="shared" ref="F271:O271" si="172">E271+F133+F134</f>
        <v>2853</v>
      </c>
      <c r="G271" s="77">
        <f t="shared" si="172"/>
        <v>3753</v>
      </c>
      <c r="H271" s="77">
        <f t="shared" si="172"/>
        <v>4653</v>
      </c>
      <c r="I271" s="77">
        <f t="shared" si="172"/>
        <v>5753</v>
      </c>
      <c r="J271" s="77">
        <f t="shared" si="172"/>
        <v>6703</v>
      </c>
      <c r="K271" s="77">
        <f t="shared" si="172"/>
        <v>7603</v>
      </c>
      <c r="L271" s="77">
        <f t="shared" si="172"/>
        <v>8503</v>
      </c>
      <c r="M271" s="77">
        <f t="shared" si="172"/>
        <v>9403</v>
      </c>
      <c r="N271" s="77">
        <f t="shared" si="172"/>
        <v>10303</v>
      </c>
      <c r="O271" s="77">
        <f t="shared" si="172"/>
        <v>11203</v>
      </c>
      <c r="Q271" s="235"/>
    </row>
    <row r="272" spans="1:17" ht="15" customHeight="1">
      <c r="A272" s="94" t="s">
        <v>187</v>
      </c>
      <c r="C272" s="81">
        <v>146</v>
      </c>
      <c r="D272" s="298">
        <v>650</v>
      </c>
      <c r="E272" s="298">
        <v>1525</v>
      </c>
      <c r="F272" s="298">
        <v>2785</v>
      </c>
      <c r="G272" s="298">
        <v>3645</v>
      </c>
      <c r="H272" s="298">
        <v>4845</v>
      </c>
      <c r="I272" s="298">
        <v>4845</v>
      </c>
      <c r="J272" s="298">
        <v>4845</v>
      </c>
      <c r="K272" s="298">
        <v>4845</v>
      </c>
      <c r="L272" s="298">
        <v>4845</v>
      </c>
      <c r="M272" s="298">
        <v>4845</v>
      </c>
      <c r="N272" s="298">
        <v>4845</v>
      </c>
      <c r="O272" s="298">
        <v>4845</v>
      </c>
      <c r="Q272" s="235"/>
    </row>
    <row r="273" spans="1:15" ht="15" customHeight="1">
      <c r="A273" s="94" t="s">
        <v>221</v>
      </c>
      <c r="C273" s="81">
        <v>147</v>
      </c>
      <c r="D273" s="298">
        <v>650</v>
      </c>
      <c r="E273" s="298">
        <v>1525</v>
      </c>
      <c r="F273" s="298">
        <v>2785</v>
      </c>
      <c r="G273" s="298">
        <v>3645</v>
      </c>
      <c r="H273" s="298">
        <v>4845</v>
      </c>
      <c r="I273" s="298">
        <v>5500</v>
      </c>
      <c r="J273" s="298">
        <v>6200</v>
      </c>
      <c r="K273" s="298">
        <v>6800</v>
      </c>
      <c r="L273" s="298">
        <v>7000</v>
      </c>
      <c r="M273" s="298">
        <v>8000</v>
      </c>
      <c r="N273" s="298">
        <v>8500</v>
      </c>
      <c r="O273" s="298">
        <v>9500</v>
      </c>
    </row>
    <row r="274" spans="1:15" ht="15" customHeight="1">
      <c r="C274" s="81">
        <v>148</v>
      </c>
      <c r="D274" s="77"/>
      <c r="E274" s="77"/>
      <c r="F274" s="77"/>
      <c r="G274" s="77"/>
      <c r="H274" s="77"/>
      <c r="I274" s="77"/>
      <c r="J274" s="77"/>
      <c r="K274" s="77"/>
      <c r="L274" s="77"/>
      <c r="M274" s="77"/>
      <c r="N274" s="77"/>
      <c r="O274" s="77"/>
    </row>
    <row r="275" spans="1:15" ht="15" customHeight="1">
      <c r="A275" s="73" t="s">
        <v>186</v>
      </c>
      <c r="C275" s="81">
        <v>149</v>
      </c>
      <c r="D275" s="77"/>
      <c r="E275" s="77"/>
      <c r="F275" s="77"/>
      <c r="G275" s="77"/>
      <c r="H275" s="77"/>
      <c r="I275" s="77"/>
      <c r="J275" s="77"/>
      <c r="K275" s="77"/>
      <c r="L275" s="77"/>
      <c r="M275" s="77"/>
      <c r="N275" s="77"/>
      <c r="O275" s="77"/>
    </row>
    <row r="276" spans="1:15" ht="15" customHeight="1">
      <c r="C276" s="81">
        <v>150</v>
      </c>
      <c r="D276" s="77"/>
      <c r="E276" s="77"/>
      <c r="F276" s="77"/>
      <c r="G276" s="77"/>
      <c r="H276" s="77"/>
      <c r="I276" s="77"/>
      <c r="J276" s="77"/>
      <c r="K276" s="77"/>
      <c r="L276" s="77"/>
      <c r="M276" s="77"/>
      <c r="N276" s="77"/>
      <c r="O276" s="77"/>
    </row>
    <row r="277" spans="1:15" ht="15" customHeight="1">
      <c r="A277" s="94" t="s">
        <v>239</v>
      </c>
      <c r="C277" s="81">
        <v>151</v>
      </c>
      <c r="D277" s="77">
        <f>D131+D132</f>
        <v>200</v>
      </c>
      <c r="E277" s="77">
        <f>D277+E131+E132</f>
        <v>400</v>
      </c>
      <c r="F277" s="77">
        <f t="shared" ref="F277:O277" si="173">E277+F131+F132</f>
        <v>600</v>
      </c>
      <c r="G277" s="77">
        <f t="shared" si="173"/>
        <v>800</v>
      </c>
      <c r="H277" s="77">
        <f t="shared" si="173"/>
        <v>1000</v>
      </c>
      <c r="I277" s="77">
        <f t="shared" si="173"/>
        <v>1200</v>
      </c>
      <c r="J277" s="77">
        <f t="shared" si="173"/>
        <v>1400</v>
      </c>
      <c r="K277" s="77">
        <f t="shared" si="173"/>
        <v>1600</v>
      </c>
      <c r="L277" s="77">
        <f t="shared" si="173"/>
        <v>1800</v>
      </c>
      <c r="M277" s="77">
        <f t="shared" si="173"/>
        <v>2000</v>
      </c>
      <c r="N277" s="77">
        <f t="shared" si="173"/>
        <v>2200</v>
      </c>
      <c r="O277" s="77">
        <f t="shared" si="173"/>
        <v>2400</v>
      </c>
    </row>
    <row r="278" spans="1:15" ht="15" customHeight="1">
      <c r="A278" s="94" t="s">
        <v>188</v>
      </c>
      <c r="C278" s="81">
        <v>152</v>
      </c>
      <c r="D278" s="298">
        <v>200</v>
      </c>
      <c r="E278" s="298">
        <v>355</v>
      </c>
      <c r="F278" s="298">
        <v>535</v>
      </c>
      <c r="G278" s="298">
        <v>720</v>
      </c>
      <c r="H278" s="298">
        <v>970</v>
      </c>
      <c r="I278" s="298">
        <v>970</v>
      </c>
      <c r="J278" s="298">
        <v>970</v>
      </c>
      <c r="K278" s="298">
        <v>970</v>
      </c>
      <c r="L278" s="298">
        <v>970</v>
      </c>
      <c r="M278" s="298">
        <v>970</v>
      </c>
      <c r="N278" s="298">
        <v>970</v>
      </c>
      <c r="O278" s="298">
        <v>970</v>
      </c>
    </row>
    <row r="279" spans="1:15" ht="15" customHeight="1">
      <c r="A279" s="94" t="s">
        <v>222</v>
      </c>
      <c r="D279" s="298">
        <v>200</v>
      </c>
      <c r="E279" s="298">
        <v>355</v>
      </c>
      <c r="F279" s="298">
        <v>535</v>
      </c>
      <c r="G279" s="298">
        <v>720</v>
      </c>
      <c r="H279" s="298">
        <v>970</v>
      </c>
      <c r="I279" s="298">
        <v>1300</v>
      </c>
      <c r="J279" s="298">
        <v>1450</v>
      </c>
      <c r="K279" s="298">
        <v>1680</v>
      </c>
      <c r="L279" s="298">
        <v>1890</v>
      </c>
      <c r="M279" s="298">
        <v>2200</v>
      </c>
      <c r="N279" s="298">
        <v>2400</v>
      </c>
      <c r="O279" s="298">
        <v>2800</v>
      </c>
    </row>
    <row r="280" spans="1:15" ht="15" customHeight="1">
      <c r="D280" s="77"/>
      <c r="E280" s="77"/>
      <c r="F280" s="77"/>
      <c r="G280" s="77"/>
      <c r="H280" s="77"/>
      <c r="I280" s="77"/>
      <c r="J280" s="77"/>
      <c r="K280" s="77"/>
      <c r="L280" s="77"/>
      <c r="M280" s="77"/>
      <c r="N280" s="77"/>
      <c r="O280" s="77"/>
    </row>
    <row r="281" spans="1:15" ht="15" customHeight="1">
      <c r="D281" s="77"/>
      <c r="E281" s="77"/>
      <c r="F281" s="77"/>
      <c r="G281" s="77"/>
      <c r="H281" s="77"/>
      <c r="I281" s="77"/>
      <c r="J281" s="77"/>
      <c r="K281" s="77"/>
      <c r="L281" s="77"/>
      <c r="M281" s="77"/>
      <c r="N281" s="77"/>
      <c r="O281" s="77"/>
    </row>
    <row r="282" spans="1:15" ht="15" customHeight="1">
      <c r="D282" s="77"/>
      <c r="E282" s="77"/>
      <c r="F282" s="77"/>
      <c r="G282" s="77"/>
      <c r="H282" s="77"/>
      <c r="I282" s="77"/>
      <c r="J282" s="77"/>
      <c r="K282" s="77"/>
      <c r="L282" s="77"/>
      <c r="M282" s="77"/>
      <c r="N282" s="77"/>
      <c r="O282" s="77"/>
    </row>
    <row r="283" spans="1:15" ht="15" customHeight="1">
      <c r="D283" s="77"/>
      <c r="E283" s="77"/>
      <c r="F283" s="77"/>
      <c r="G283" s="77"/>
      <c r="H283" s="77"/>
      <c r="I283" s="77"/>
      <c r="J283" s="77"/>
      <c r="K283" s="77"/>
      <c r="L283" s="77"/>
      <c r="M283" s="77"/>
      <c r="N283" s="77"/>
      <c r="O283" s="77"/>
    </row>
    <row r="284" spans="1:15" ht="15" customHeight="1">
      <c r="D284" s="77"/>
      <c r="E284" s="77"/>
      <c r="F284" s="77"/>
      <c r="G284" s="77"/>
      <c r="H284" s="77"/>
      <c r="I284" s="77"/>
      <c r="J284" s="77"/>
      <c r="K284" s="77"/>
      <c r="L284" s="77"/>
      <c r="M284" s="77"/>
      <c r="N284" s="77"/>
      <c r="O284" s="77"/>
    </row>
    <row r="285" spans="1:15" ht="15" customHeight="1">
      <c r="D285" s="77"/>
      <c r="E285" s="77"/>
      <c r="F285" s="77"/>
      <c r="G285" s="77"/>
      <c r="H285" s="77"/>
      <c r="I285" s="77"/>
      <c r="J285" s="77"/>
      <c r="K285" s="77"/>
      <c r="L285" s="77"/>
      <c r="M285" s="77"/>
      <c r="N285" s="77"/>
      <c r="O285" s="77"/>
    </row>
    <row r="286" spans="1:15" ht="15" customHeight="1">
      <c r="D286" s="77"/>
      <c r="E286" s="77"/>
      <c r="F286" s="77"/>
      <c r="G286" s="77"/>
      <c r="H286" s="77"/>
      <c r="I286" s="77"/>
      <c r="J286" s="77"/>
      <c r="K286" s="77"/>
      <c r="L286" s="77"/>
      <c r="M286" s="77"/>
      <c r="N286" s="77"/>
      <c r="O286" s="77"/>
    </row>
    <row r="287" spans="1:15" ht="15" customHeight="1">
      <c r="D287" s="77"/>
      <c r="E287" s="77"/>
      <c r="F287" s="77"/>
      <c r="G287" s="77"/>
      <c r="H287" s="77"/>
      <c r="I287" s="77"/>
      <c r="J287" s="77"/>
      <c r="K287" s="77"/>
      <c r="L287" s="77"/>
      <c r="M287" s="77"/>
      <c r="N287" s="77"/>
      <c r="O287" s="77"/>
    </row>
    <row r="288" spans="1:15" ht="15" customHeight="1">
      <c r="D288" s="77"/>
      <c r="E288" s="77"/>
      <c r="F288" s="77"/>
      <c r="G288" s="77"/>
      <c r="H288" s="77"/>
      <c r="I288" s="77"/>
      <c r="J288" s="77"/>
      <c r="K288" s="77"/>
      <c r="L288" s="77"/>
      <c r="M288" s="77"/>
      <c r="N288" s="77"/>
      <c r="O288" s="77"/>
    </row>
    <row r="289" spans="4:15" ht="15" customHeight="1">
      <c r="D289" s="77"/>
      <c r="E289" s="77"/>
      <c r="F289" s="77"/>
      <c r="G289" s="77"/>
      <c r="H289" s="77"/>
      <c r="I289" s="77"/>
      <c r="J289" s="77"/>
      <c r="K289" s="77"/>
      <c r="L289" s="77"/>
      <c r="M289" s="77"/>
      <c r="N289" s="77"/>
      <c r="O289" s="77"/>
    </row>
    <row r="290" spans="4:15" ht="15" customHeight="1">
      <c r="D290" s="77"/>
      <c r="E290" s="77"/>
      <c r="F290" s="77"/>
      <c r="G290" s="77"/>
      <c r="H290" s="77"/>
      <c r="I290" s="77"/>
      <c r="J290" s="77"/>
      <c r="K290" s="77"/>
      <c r="L290" s="77"/>
      <c r="M290" s="77"/>
      <c r="N290" s="77"/>
      <c r="O290" s="77"/>
    </row>
    <row r="291" spans="4:15" ht="15" customHeight="1">
      <c r="D291" s="77"/>
      <c r="E291" s="77"/>
      <c r="F291" s="77"/>
      <c r="G291" s="77"/>
      <c r="H291" s="77"/>
      <c r="I291" s="77"/>
      <c r="J291" s="77"/>
      <c r="K291" s="77"/>
      <c r="L291" s="77"/>
      <c r="M291" s="77"/>
      <c r="N291" s="77"/>
      <c r="O291" s="77"/>
    </row>
    <row r="292" spans="4:15" ht="15" customHeight="1">
      <c r="D292" s="77"/>
      <c r="E292" s="77"/>
      <c r="F292" s="77"/>
      <c r="G292" s="77"/>
      <c r="H292" s="77"/>
      <c r="I292" s="77"/>
      <c r="J292" s="77"/>
      <c r="K292" s="77"/>
      <c r="L292" s="77"/>
      <c r="M292" s="77"/>
      <c r="N292" s="77"/>
      <c r="O292" s="77"/>
    </row>
    <row r="293" spans="4:15" ht="15" customHeight="1">
      <c r="D293" s="77"/>
      <c r="E293" s="77"/>
      <c r="F293" s="77"/>
      <c r="G293" s="77"/>
      <c r="H293" s="77"/>
      <c r="I293" s="77"/>
      <c r="J293" s="77"/>
      <c r="K293" s="77"/>
      <c r="L293" s="77"/>
      <c r="M293" s="77"/>
      <c r="N293" s="77"/>
      <c r="O293" s="77"/>
    </row>
    <row r="294" spans="4:15" ht="15" customHeight="1">
      <c r="D294" s="77"/>
      <c r="E294" s="77"/>
      <c r="F294" s="77"/>
      <c r="G294" s="77"/>
      <c r="H294" s="77"/>
      <c r="I294" s="77"/>
      <c r="J294" s="77"/>
      <c r="K294" s="77"/>
      <c r="L294" s="77"/>
      <c r="M294" s="77"/>
      <c r="N294" s="77"/>
      <c r="O294" s="77"/>
    </row>
    <row r="295" spans="4:15" ht="15" customHeight="1">
      <c r="D295" s="77"/>
      <c r="E295" s="77"/>
      <c r="F295" s="77"/>
      <c r="G295" s="77"/>
      <c r="H295" s="77"/>
      <c r="I295" s="77"/>
      <c r="J295" s="77"/>
      <c r="K295" s="77"/>
      <c r="L295" s="77"/>
      <c r="M295" s="77"/>
      <c r="N295" s="77"/>
      <c r="O295" s="77"/>
    </row>
    <row r="296" spans="4:15" ht="15" customHeight="1">
      <c r="D296" s="77"/>
      <c r="E296" s="77"/>
      <c r="F296" s="77"/>
      <c r="G296" s="77"/>
      <c r="H296" s="77"/>
      <c r="I296" s="77"/>
      <c r="J296" s="77"/>
      <c r="K296" s="77"/>
      <c r="L296" s="77"/>
      <c r="M296" s="77"/>
      <c r="N296" s="77"/>
      <c r="O296" s="77"/>
    </row>
    <row r="297" spans="4:15" ht="15" customHeight="1">
      <c r="D297" s="77"/>
      <c r="E297" s="77"/>
      <c r="F297" s="77"/>
      <c r="G297" s="77"/>
      <c r="H297" s="77"/>
      <c r="I297" s="77"/>
      <c r="J297" s="77"/>
      <c r="K297" s="77"/>
      <c r="L297" s="77"/>
      <c r="M297" s="77"/>
      <c r="N297" s="77"/>
      <c r="O297" s="77"/>
    </row>
    <row r="298" spans="4:15" ht="15" customHeight="1">
      <c r="D298" s="77"/>
      <c r="E298" s="77"/>
      <c r="F298" s="77"/>
      <c r="G298" s="77"/>
      <c r="H298" s="77"/>
      <c r="I298" s="77"/>
      <c r="J298" s="77"/>
      <c r="K298" s="77"/>
      <c r="L298" s="77"/>
      <c r="M298" s="77"/>
      <c r="N298" s="77"/>
      <c r="O298" s="77"/>
    </row>
    <row r="299" spans="4:15" ht="15" customHeight="1">
      <c r="D299" s="77"/>
      <c r="E299" s="77"/>
      <c r="F299" s="77"/>
      <c r="G299" s="77"/>
      <c r="H299" s="77"/>
      <c r="I299" s="77"/>
      <c r="J299" s="77"/>
      <c r="K299" s="77"/>
      <c r="L299" s="77"/>
      <c r="M299" s="77"/>
      <c r="N299" s="77"/>
      <c r="O299" s="77"/>
    </row>
    <row r="300" spans="4:15" ht="15" customHeight="1">
      <c r="D300" s="77"/>
      <c r="E300" s="77"/>
      <c r="F300" s="77"/>
      <c r="G300" s="77"/>
      <c r="H300" s="77"/>
      <c r="I300" s="77"/>
      <c r="J300" s="77"/>
      <c r="K300" s="77"/>
      <c r="L300" s="77"/>
      <c r="M300" s="77"/>
      <c r="N300" s="77"/>
      <c r="O300" s="77"/>
    </row>
    <row r="301" spans="4:15" ht="15" customHeight="1">
      <c r="D301" s="77"/>
      <c r="E301" s="77"/>
      <c r="F301" s="77"/>
      <c r="G301" s="77"/>
      <c r="H301" s="77"/>
      <c r="I301" s="77"/>
      <c r="J301" s="77"/>
      <c r="K301" s="77"/>
      <c r="L301" s="77"/>
      <c r="M301" s="77"/>
      <c r="N301" s="77"/>
      <c r="O301" s="77"/>
    </row>
    <row r="302" spans="4:15" ht="15" customHeight="1">
      <c r="D302" s="77"/>
      <c r="E302" s="77"/>
      <c r="F302" s="77"/>
      <c r="G302" s="77"/>
      <c r="H302" s="77"/>
      <c r="I302" s="77"/>
      <c r="J302" s="77"/>
      <c r="K302" s="77"/>
      <c r="L302" s="77"/>
      <c r="M302" s="77"/>
      <c r="N302" s="77"/>
      <c r="O302" s="77"/>
    </row>
    <row r="303" spans="4:15" ht="15" customHeight="1">
      <c r="D303" s="77"/>
      <c r="E303" s="77"/>
      <c r="F303" s="77"/>
      <c r="G303" s="77"/>
      <c r="H303" s="77"/>
      <c r="I303" s="77"/>
      <c r="J303" s="77"/>
      <c r="K303" s="77"/>
      <c r="L303" s="77"/>
      <c r="M303" s="77"/>
      <c r="N303" s="77"/>
      <c r="O303" s="77"/>
    </row>
    <row r="304" spans="4:15" ht="15" customHeight="1">
      <c r="D304" s="77"/>
      <c r="E304" s="77"/>
      <c r="F304" s="77"/>
      <c r="G304" s="77"/>
      <c r="H304" s="77"/>
      <c r="I304" s="77"/>
      <c r="J304" s="77"/>
      <c r="K304" s="77"/>
      <c r="L304" s="77"/>
      <c r="M304" s="77"/>
      <c r="N304" s="77"/>
      <c r="O304" s="77"/>
    </row>
    <row r="305" spans="4:15" ht="15" customHeight="1">
      <c r="D305" s="77"/>
      <c r="E305" s="77"/>
      <c r="F305" s="77"/>
      <c r="G305" s="77"/>
      <c r="H305" s="77"/>
      <c r="I305" s="77"/>
      <c r="J305" s="77"/>
      <c r="K305" s="77"/>
      <c r="L305" s="77"/>
      <c r="M305" s="77"/>
      <c r="N305" s="77"/>
      <c r="O305" s="77"/>
    </row>
    <row r="306" spans="4:15" ht="15" customHeight="1">
      <c r="D306" s="77"/>
      <c r="E306" s="77"/>
      <c r="F306" s="77"/>
      <c r="G306" s="77"/>
      <c r="H306" s="77"/>
      <c r="I306" s="77"/>
      <c r="J306" s="77"/>
      <c r="K306" s="77"/>
      <c r="L306" s="77"/>
      <c r="M306" s="77"/>
      <c r="N306" s="77"/>
      <c r="O306" s="77"/>
    </row>
    <row r="307" spans="4:15" ht="15" customHeight="1">
      <c r="D307" s="77"/>
      <c r="E307" s="77"/>
      <c r="F307" s="77"/>
      <c r="G307" s="77"/>
      <c r="H307" s="77"/>
      <c r="I307" s="77"/>
      <c r="J307" s="77"/>
      <c r="K307" s="77"/>
      <c r="L307" s="77"/>
      <c r="M307" s="77"/>
      <c r="N307" s="77"/>
      <c r="O307" s="77"/>
    </row>
    <row r="308" spans="4:15" ht="15" customHeight="1">
      <c r="D308" s="77"/>
      <c r="E308" s="77"/>
      <c r="F308" s="77"/>
      <c r="G308" s="77"/>
      <c r="H308" s="77"/>
      <c r="I308" s="77"/>
      <c r="J308" s="77"/>
      <c r="K308" s="77"/>
      <c r="L308" s="77"/>
      <c r="M308" s="77"/>
      <c r="N308" s="77"/>
      <c r="O308" s="77"/>
    </row>
    <row r="309" spans="4:15" ht="15" customHeight="1">
      <c r="D309" s="77"/>
      <c r="E309" s="77"/>
      <c r="F309" s="77"/>
      <c r="G309" s="77"/>
      <c r="H309" s="77"/>
      <c r="I309" s="77"/>
      <c r="J309" s="77"/>
      <c r="K309" s="77"/>
      <c r="L309" s="77"/>
      <c r="M309" s="77"/>
      <c r="N309" s="77"/>
      <c r="O309" s="77"/>
    </row>
    <row r="310" spans="4:15" ht="15" customHeight="1">
      <c r="D310" s="77"/>
      <c r="E310" s="77"/>
      <c r="F310" s="77"/>
      <c r="G310" s="77"/>
      <c r="H310" s="77"/>
      <c r="I310" s="77"/>
      <c r="J310" s="77"/>
      <c r="K310" s="77"/>
      <c r="L310" s="77"/>
      <c r="M310" s="77"/>
      <c r="N310" s="77"/>
      <c r="O310" s="77"/>
    </row>
    <row r="311" spans="4:15" ht="15" customHeight="1">
      <c r="D311" s="77"/>
      <c r="E311" s="77"/>
      <c r="F311" s="77"/>
      <c r="G311" s="77"/>
      <c r="H311" s="77"/>
      <c r="I311" s="77"/>
      <c r="J311" s="77"/>
      <c r="K311" s="77"/>
      <c r="L311" s="77"/>
      <c r="M311" s="77"/>
      <c r="N311" s="77"/>
      <c r="O311" s="77"/>
    </row>
    <row r="312" spans="4:15" ht="15" customHeight="1">
      <c r="D312" s="77"/>
      <c r="E312" s="77"/>
      <c r="F312" s="77"/>
      <c r="G312" s="77"/>
      <c r="H312" s="77"/>
      <c r="I312" s="77"/>
      <c r="J312" s="77"/>
      <c r="K312" s="77"/>
      <c r="L312" s="77"/>
      <c r="M312" s="77"/>
      <c r="N312" s="77"/>
      <c r="O312" s="77"/>
    </row>
    <row r="313" spans="4:15" ht="15" customHeight="1">
      <c r="D313" s="77"/>
      <c r="E313" s="77"/>
      <c r="F313" s="77"/>
      <c r="G313" s="77"/>
      <c r="H313" s="77"/>
      <c r="I313" s="77"/>
      <c r="J313" s="77"/>
      <c r="K313" s="77"/>
      <c r="L313" s="77"/>
      <c r="M313" s="77"/>
      <c r="N313" s="77"/>
      <c r="O313" s="77"/>
    </row>
    <row r="314" spans="4:15" ht="15" customHeight="1">
      <c r="D314" s="77"/>
      <c r="E314" s="77"/>
      <c r="F314" s="77"/>
      <c r="G314" s="77"/>
      <c r="H314" s="77"/>
      <c r="I314" s="77"/>
      <c r="J314" s="77"/>
      <c r="K314" s="77"/>
      <c r="L314" s="77"/>
      <c r="M314" s="77"/>
      <c r="N314" s="77"/>
      <c r="O314" s="77"/>
    </row>
    <row r="315" spans="4:15" ht="15" customHeight="1">
      <c r="D315" s="77"/>
      <c r="E315" s="77"/>
      <c r="F315" s="77"/>
      <c r="G315" s="77"/>
      <c r="H315" s="77"/>
      <c r="I315" s="77"/>
      <c r="J315" s="77"/>
      <c r="K315" s="77"/>
      <c r="L315" s="77"/>
      <c r="M315" s="77"/>
      <c r="N315" s="77"/>
      <c r="O315" s="77"/>
    </row>
    <row r="316" spans="4:15" ht="15" customHeight="1">
      <c r="D316" s="77"/>
      <c r="E316" s="77"/>
      <c r="F316" s="77"/>
      <c r="G316" s="77"/>
      <c r="H316" s="77"/>
      <c r="I316" s="77"/>
      <c r="J316" s="77"/>
      <c r="K316" s="77"/>
      <c r="L316" s="77"/>
      <c r="M316" s="77"/>
      <c r="N316" s="77"/>
      <c r="O316" s="77"/>
    </row>
    <row r="317" spans="4:15" ht="15" customHeight="1">
      <c r="D317" s="77"/>
      <c r="E317" s="77"/>
      <c r="F317" s="77"/>
      <c r="G317" s="77"/>
      <c r="H317" s="77"/>
      <c r="I317" s="77"/>
      <c r="J317" s="77"/>
      <c r="K317" s="77"/>
      <c r="L317" s="77"/>
      <c r="M317" s="77"/>
      <c r="N317" s="77"/>
      <c r="O317" s="77"/>
    </row>
    <row r="318" spans="4:15" ht="15" customHeight="1">
      <c r="D318" s="77"/>
      <c r="E318" s="77"/>
      <c r="F318" s="77"/>
      <c r="G318" s="77"/>
      <c r="H318" s="77"/>
      <c r="I318" s="77"/>
      <c r="J318" s="77"/>
      <c r="K318" s="77"/>
      <c r="L318" s="77"/>
      <c r="M318" s="77"/>
      <c r="N318" s="77"/>
      <c r="O318" s="77"/>
    </row>
    <row r="319" spans="4:15" ht="15" customHeight="1">
      <c r="D319" s="77"/>
      <c r="E319" s="77"/>
      <c r="F319" s="77"/>
      <c r="G319" s="77"/>
      <c r="H319" s="77"/>
      <c r="I319" s="77"/>
      <c r="J319" s="77"/>
      <c r="K319" s="77"/>
      <c r="L319" s="77"/>
      <c r="M319" s="77"/>
      <c r="N319" s="77"/>
      <c r="O319" s="77"/>
    </row>
    <row r="320" spans="4:15" ht="15" customHeight="1">
      <c r="D320" s="77"/>
      <c r="E320" s="77"/>
      <c r="F320" s="77"/>
      <c r="G320" s="77"/>
      <c r="H320" s="77"/>
      <c r="I320" s="77"/>
      <c r="J320" s="77"/>
      <c r="K320" s="77"/>
      <c r="L320" s="77"/>
      <c r="M320" s="77"/>
      <c r="N320" s="77"/>
      <c r="O320" s="77"/>
    </row>
    <row r="321" spans="4:15" ht="15" customHeight="1">
      <c r="D321" s="77"/>
      <c r="E321" s="77"/>
      <c r="F321" s="77"/>
      <c r="G321" s="77"/>
      <c r="H321" s="77"/>
      <c r="I321" s="77"/>
      <c r="J321" s="77"/>
      <c r="K321" s="77"/>
      <c r="L321" s="77"/>
      <c r="M321" s="77"/>
      <c r="N321" s="77"/>
      <c r="O321" s="77"/>
    </row>
    <row r="322" spans="4:15" ht="15" customHeight="1">
      <c r="D322" s="77"/>
      <c r="E322" s="77"/>
      <c r="F322" s="77"/>
      <c r="G322" s="77"/>
      <c r="H322" s="77"/>
      <c r="I322" s="77"/>
      <c r="J322" s="77"/>
      <c r="K322" s="77"/>
      <c r="L322" s="77"/>
      <c r="M322" s="77"/>
      <c r="N322" s="77"/>
      <c r="O322" s="77"/>
    </row>
    <row r="323" spans="4:15" ht="15" customHeight="1">
      <c r="D323" s="77"/>
      <c r="E323" s="77"/>
      <c r="F323" s="77"/>
      <c r="G323" s="77"/>
      <c r="H323" s="77"/>
      <c r="I323" s="77"/>
      <c r="J323" s="77"/>
      <c r="K323" s="77"/>
      <c r="L323" s="77"/>
      <c r="M323" s="77"/>
      <c r="N323" s="77"/>
      <c r="O323" s="77"/>
    </row>
    <row r="324" spans="4:15" ht="15" customHeight="1">
      <c r="D324" s="77"/>
      <c r="E324" s="77"/>
      <c r="F324" s="77"/>
      <c r="G324" s="77"/>
      <c r="H324" s="77"/>
      <c r="I324" s="77"/>
      <c r="J324" s="77"/>
      <c r="K324" s="77"/>
      <c r="L324" s="77"/>
      <c r="M324" s="77"/>
      <c r="N324" s="77"/>
      <c r="O324" s="77"/>
    </row>
    <row r="325" spans="4:15" ht="15" customHeight="1">
      <c r="D325" s="77"/>
      <c r="E325" s="77"/>
      <c r="F325" s="77"/>
      <c r="G325" s="77"/>
      <c r="H325" s="77"/>
      <c r="I325" s="77"/>
      <c r="J325" s="77"/>
      <c r="K325" s="77"/>
      <c r="L325" s="77"/>
      <c r="M325" s="77"/>
      <c r="N325" s="77"/>
      <c r="O325" s="77"/>
    </row>
    <row r="326" spans="4:15" ht="15" customHeight="1">
      <c r="D326" s="77"/>
      <c r="E326" s="77"/>
      <c r="F326" s="77"/>
      <c r="G326" s="77"/>
      <c r="H326" s="77"/>
      <c r="I326" s="77"/>
      <c r="J326" s="77"/>
      <c r="K326" s="77"/>
      <c r="L326" s="77"/>
      <c r="M326" s="77"/>
      <c r="N326" s="77"/>
      <c r="O326" s="77"/>
    </row>
    <row r="327" spans="4:15" ht="15" customHeight="1">
      <c r="D327" s="77"/>
      <c r="E327" s="77"/>
      <c r="F327" s="77"/>
      <c r="G327" s="77"/>
      <c r="H327" s="77"/>
      <c r="I327" s="77"/>
      <c r="J327" s="77"/>
      <c r="K327" s="77"/>
      <c r="L327" s="77"/>
      <c r="M327" s="77"/>
      <c r="N327" s="77"/>
      <c r="O327" s="77"/>
    </row>
    <row r="328" spans="4:15" ht="15" customHeight="1">
      <c r="D328" s="77"/>
      <c r="E328" s="77"/>
      <c r="F328" s="77"/>
      <c r="G328" s="77"/>
      <c r="H328" s="77"/>
      <c r="I328" s="77"/>
      <c r="J328" s="77"/>
      <c r="K328" s="77"/>
      <c r="L328" s="77"/>
      <c r="M328" s="77"/>
      <c r="N328" s="77"/>
      <c r="O328" s="77"/>
    </row>
    <row r="329" spans="4:15" ht="15" customHeight="1">
      <c r="D329" s="77"/>
      <c r="E329" s="77"/>
      <c r="F329" s="77"/>
      <c r="G329" s="77"/>
      <c r="H329" s="77"/>
      <c r="I329" s="77"/>
      <c r="J329" s="77"/>
      <c r="K329" s="77"/>
      <c r="L329" s="77"/>
      <c r="M329" s="77"/>
      <c r="N329" s="77"/>
      <c r="O329" s="77"/>
    </row>
    <row r="330" spans="4:15" ht="15" customHeight="1">
      <c r="D330" s="77"/>
      <c r="E330" s="77"/>
      <c r="F330" s="77"/>
      <c r="G330" s="77"/>
      <c r="H330" s="77"/>
      <c r="I330" s="77"/>
      <c r="J330" s="77"/>
      <c r="K330" s="77"/>
      <c r="L330" s="77"/>
      <c r="M330" s="77"/>
      <c r="N330" s="77"/>
      <c r="O330" s="77"/>
    </row>
    <row r="331" spans="4:15" ht="15" customHeight="1">
      <c r="D331" s="77"/>
      <c r="E331" s="77"/>
      <c r="F331" s="77"/>
      <c r="G331" s="77"/>
      <c r="H331" s="77"/>
      <c r="I331" s="77"/>
      <c r="J331" s="77"/>
      <c r="K331" s="77"/>
      <c r="L331" s="77"/>
      <c r="M331" s="77"/>
      <c r="N331" s="77"/>
      <c r="O331" s="77"/>
    </row>
    <row r="332" spans="4:15" ht="15" customHeight="1">
      <c r="D332" s="77"/>
      <c r="E332" s="77"/>
      <c r="F332" s="77"/>
      <c r="G332" s="77"/>
      <c r="H332" s="77"/>
      <c r="I332" s="77"/>
      <c r="J332" s="77"/>
      <c r="K332" s="77"/>
      <c r="L332" s="77"/>
      <c r="M332" s="77"/>
      <c r="N332" s="77"/>
      <c r="O332" s="77"/>
    </row>
    <row r="333" spans="4:15" ht="15" customHeight="1">
      <c r="D333" s="77"/>
      <c r="E333" s="77"/>
      <c r="F333" s="77"/>
      <c r="G333" s="77"/>
      <c r="H333" s="77"/>
      <c r="I333" s="77"/>
      <c r="J333" s="77"/>
      <c r="K333" s="77"/>
      <c r="L333" s="77"/>
      <c r="M333" s="77"/>
      <c r="N333" s="77"/>
      <c r="O333" s="77"/>
    </row>
    <row r="334" spans="4:15" ht="15" customHeight="1">
      <c r="D334" s="77"/>
      <c r="E334" s="77"/>
      <c r="F334" s="77"/>
      <c r="G334" s="77"/>
      <c r="H334" s="77"/>
      <c r="I334" s="77"/>
      <c r="J334" s="77"/>
      <c r="K334" s="77"/>
      <c r="L334" s="77"/>
      <c r="M334" s="77"/>
      <c r="N334" s="77"/>
      <c r="O334" s="77"/>
    </row>
    <row r="335" spans="4:15" ht="15" customHeight="1">
      <c r="D335" s="77"/>
      <c r="E335" s="77"/>
      <c r="F335" s="77"/>
      <c r="G335" s="77"/>
      <c r="H335" s="77"/>
      <c r="I335" s="77"/>
      <c r="J335" s="77"/>
      <c r="K335" s="77"/>
      <c r="L335" s="77"/>
      <c r="M335" s="77"/>
      <c r="N335" s="77"/>
      <c r="O335" s="77"/>
    </row>
    <row r="336" spans="4:15" ht="15" customHeight="1">
      <c r="D336" s="77"/>
      <c r="E336" s="77"/>
      <c r="F336" s="77"/>
      <c r="G336" s="77"/>
      <c r="H336" s="77"/>
      <c r="I336" s="77"/>
      <c r="J336" s="77"/>
      <c r="K336" s="77"/>
      <c r="L336" s="77"/>
      <c r="M336" s="77"/>
      <c r="N336" s="77"/>
      <c r="O336" s="77"/>
    </row>
    <row r="337" spans="4:15" ht="15" customHeight="1">
      <c r="D337" s="77"/>
      <c r="E337" s="77"/>
      <c r="F337" s="77"/>
      <c r="G337" s="77"/>
      <c r="H337" s="77"/>
      <c r="I337" s="77"/>
      <c r="J337" s="77"/>
      <c r="K337" s="77"/>
      <c r="L337" s="77"/>
      <c r="M337" s="77"/>
      <c r="N337" s="77"/>
      <c r="O337" s="77"/>
    </row>
    <row r="338" spans="4:15" ht="15" customHeight="1">
      <c r="D338" s="77"/>
      <c r="E338" s="77"/>
      <c r="F338" s="77"/>
      <c r="G338" s="77"/>
      <c r="H338" s="77"/>
      <c r="I338" s="77"/>
      <c r="J338" s="77"/>
      <c r="K338" s="77"/>
      <c r="L338" s="77"/>
      <c r="M338" s="77"/>
      <c r="N338" s="77"/>
      <c r="O338" s="77"/>
    </row>
    <row r="339" spans="4:15" ht="15" customHeight="1">
      <c r="D339" s="77"/>
      <c r="E339" s="77"/>
      <c r="F339" s="77"/>
      <c r="G339" s="77"/>
      <c r="H339" s="77"/>
      <c r="I339" s="77"/>
      <c r="J339" s="77"/>
      <c r="K339" s="77"/>
      <c r="L339" s="77"/>
      <c r="M339" s="77"/>
      <c r="N339" s="77"/>
      <c r="O339" s="77"/>
    </row>
    <row r="340" spans="4:15" ht="15" customHeight="1">
      <c r="D340" s="77"/>
      <c r="E340" s="77"/>
      <c r="F340" s="77"/>
      <c r="G340" s="77"/>
      <c r="H340" s="77"/>
      <c r="I340" s="77"/>
      <c r="J340" s="77"/>
      <c r="K340" s="77"/>
      <c r="L340" s="77"/>
      <c r="M340" s="77"/>
      <c r="N340" s="77"/>
      <c r="O340" s="77"/>
    </row>
    <row r="341" spans="4:15" ht="15" customHeight="1">
      <c r="D341" s="77"/>
      <c r="E341" s="77"/>
      <c r="F341" s="77"/>
      <c r="G341" s="77"/>
      <c r="H341" s="77"/>
      <c r="I341" s="77"/>
      <c r="J341" s="77"/>
      <c r="K341" s="77"/>
      <c r="L341" s="77"/>
      <c r="M341" s="77"/>
      <c r="N341" s="77"/>
      <c r="O341" s="77"/>
    </row>
    <row r="342" spans="4:15" ht="15" customHeight="1">
      <c r="D342" s="77"/>
      <c r="E342" s="77"/>
      <c r="F342" s="77"/>
      <c r="G342" s="77"/>
      <c r="H342" s="77"/>
      <c r="I342" s="77"/>
      <c r="J342" s="77"/>
      <c r="K342" s="77"/>
      <c r="L342" s="77"/>
      <c r="M342" s="77"/>
      <c r="N342" s="77"/>
      <c r="O342" s="77"/>
    </row>
    <row r="343" spans="4:15" ht="15" customHeight="1">
      <c r="D343" s="77"/>
      <c r="E343" s="77"/>
      <c r="F343" s="77"/>
      <c r="G343" s="77"/>
      <c r="H343" s="77"/>
      <c r="I343" s="77"/>
      <c r="J343" s="77"/>
      <c r="K343" s="77"/>
      <c r="L343" s="77"/>
      <c r="M343" s="77"/>
      <c r="N343" s="77"/>
      <c r="O343" s="77"/>
    </row>
    <row r="344" spans="4:15" ht="15" customHeight="1">
      <c r="D344" s="77"/>
      <c r="E344" s="77"/>
      <c r="F344" s="77"/>
      <c r="G344" s="77"/>
      <c r="H344" s="77"/>
      <c r="I344" s="77"/>
      <c r="J344" s="77"/>
      <c r="K344" s="77"/>
      <c r="L344" s="77"/>
      <c r="M344" s="77"/>
      <c r="N344" s="77"/>
      <c r="O344" s="77"/>
    </row>
    <row r="345" spans="4:15" ht="15" customHeight="1">
      <c r="D345" s="77"/>
      <c r="E345" s="77"/>
      <c r="F345" s="77"/>
      <c r="G345" s="77"/>
      <c r="H345" s="77"/>
      <c r="I345" s="77"/>
      <c r="J345" s="77"/>
      <c r="K345" s="77"/>
      <c r="L345" s="77"/>
      <c r="M345" s="77"/>
      <c r="N345" s="77"/>
      <c r="O345" s="77"/>
    </row>
    <row r="346" spans="4:15" ht="15" customHeight="1">
      <c r="D346" s="77"/>
      <c r="E346" s="77"/>
      <c r="F346" s="77"/>
      <c r="G346" s="77"/>
      <c r="H346" s="77"/>
      <c r="I346" s="77"/>
      <c r="J346" s="77"/>
      <c r="K346" s="77"/>
      <c r="L346" s="77"/>
      <c r="M346" s="77"/>
      <c r="N346" s="77"/>
      <c r="O346" s="77"/>
    </row>
    <row r="347" spans="4:15" ht="15" customHeight="1">
      <c r="D347" s="77"/>
      <c r="E347" s="77"/>
      <c r="F347" s="77"/>
      <c r="G347" s="77"/>
      <c r="H347" s="77"/>
      <c r="I347" s="77"/>
      <c r="J347" s="77"/>
      <c r="K347" s="77"/>
      <c r="L347" s="77"/>
      <c r="M347" s="77"/>
      <c r="N347" s="77"/>
      <c r="O347" s="77"/>
    </row>
    <row r="348" spans="4:15" ht="15" customHeight="1">
      <c r="D348" s="77"/>
      <c r="E348" s="77"/>
      <c r="F348" s="77"/>
      <c r="G348" s="77"/>
      <c r="H348" s="77"/>
      <c r="I348" s="77"/>
      <c r="J348" s="77"/>
      <c r="K348" s="77"/>
      <c r="L348" s="77"/>
      <c r="M348" s="77"/>
      <c r="N348" s="77"/>
      <c r="O348" s="77"/>
    </row>
    <row r="349" spans="4:15" ht="15" customHeight="1">
      <c r="D349" s="77"/>
      <c r="E349" s="77"/>
      <c r="F349" s="77"/>
      <c r="G349" s="77"/>
      <c r="H349" s="77"/>
      <c r="I349" s="77"/>
      <c r="J349" s="77"/>
      <c r="K349" s="77"/>
      <c r="L349" s="77"/>
      <c r="M349" s="77"/>
      <c r="N349" s="77"/>
      <c r="O349" s="77"/>
    </row>
    <row r="350" spans="4:15" ht="15" customHeight="1">
      <c r="D350" s="77"/>
      <c r="E350" s="77"/>
      <c r="F350" s="77"/>
      <c r="G350" s="77"/>
      <c r="H350" s="77"/>
      <c r="I350" s="77"/>
      <c r="J350" s="77"/>
      <c r="K350" s="77"/>
      <c r="L350" s="77"/>
      <c r="M350" s="77"/>
      <c r="N350" s="77"/>
      <c r="O350" s="77"/>
    </row>
    <row r="351" spans="4:15" ht="15" customHeight="1">
      <c r="D351" s="77"/>
      <c r="E351" s="77"/>
      <c r="F351" s="77"/>
      <c r="G351" s="77"/>
      <c r="H351" s="77"/>
      <c r="I351" s="77"/>
      <c r="J351" s="77"/>
      <c r="K351" s="77"/>
      <c r="L351" s="77"/>
      <c r="M351" s="77"/>
      <c r="N351" s="77"/>
      <c r="O351" s="77"/>
    </row>
    <row r="352" spans="4:15" ht="15" customHeight="1">
      <c r="D352" s="77"/>
      <c r="E352" s="77"/>
      <c r="F352" s="77"/>
      <c r="G352" s="77"/>
      <c r="H352" s="77"/>
      <c r="I352" s="77"/>
      <c r="J352" s="77"/>
      <c r="K352" s="77"/>
      <c r="L352" s="77"/>
      <c r="M352" s="77"/>
      <c r="N352" s="77"/>
      <c r="O352" s="77"/>
    </row>
    <row r="353" spans="4:15" ht="15" customHeight="1">
      <c r="D353" s="77"/>
      <c r="E353" s="77"/>
      <c r="F353" s="77"/>
      <c r="G353" s="77"/>
      <c r="H353" s="77"/>
      <c r="I353" s="77"/>
      <c r="J353" s="77"/>
      <c r="K353" s="77"/>
      <c r="L353" s="77"/>
      <c r="M353" s="77"/>
      <c r="N353" s="77"/>
      <c r="O353" s="77"/>
    </row>
    <row r="354" spans="4:15" ht="15" customHeight="1">
      <c r="D354" s="77"/>
      <c r="E354" s="77"/>
      <c r="F354" s="77"/>
      <c r="G354" s="77"/>
      <c r="H354" s="77"/>
      <c r="I354" s="77"/>
      <c r="J354" s="77"/>
      <c r="K354" s="77"/>
      <c r="L354" s="77"/>
      <c r="M354" s="77"/>
      <c r="N354" s="77"/>
      <c r="O354" s="77"/>
    </row>
    <row r="355" spans="4:15" ht="15" customHeight="1">
      <c r="D355" s="77"/>
      <c r="E355" s="77"/>
      <c r="F355" s="77"/>
      <c r="G355" s="77"/>
      <c r="H355" s="77"/>
      <c r="I355" s="77"/>
      <c r="J355" s="77"/>
      <c r="K355" s="77"/>
      <c r="L355" s="77"/>
      <c r="M355" s="77"/>
      <c r="N355" s="77"/>
      <c r="O355" s="77"/>
    </row>
    <row r="356" spans="4:15" ht="15" customHeight="1">
      <c r="D356" s="77"/>
      <c r="E356" s="77"/>
      <c r="F356" s="77"/>
      <c r="G356" s="77"/>
      <c r="H356" s="77"/>
      <c r="I356" s="77"/>
      <c r="J356" s="77"/>
      <c r="K356" s="77"/>
      <c r="L356" s="77"/>
      <c r="M356" s="77"/>
      <c r="N356" s="77"/>
      <c r="O356" s="77"/>
    </row>
    <row r="357" spans="4:15" ht="15" customHeight="1">
      <c r="D357" s="77"/>
      <c r="E357" s="77"/>
      <c r="F357" s="77"/>
      <c r="G357" s="77"/>
      <c r="H357" s="77"/>
      <c r="I357" s="77"/>
      <c r="J357" s="77"/>
      <c r="K357" s="77"/>
      <c r="L357" s="77"/>
      <c r="M357" s="77"/>
      <c r="N357" s="77"/>
      <c r="O357" s="77"/>
    </row>
    <row r="358" spans="4:15" ht="15" customHeight="1">
      <c r="D358" s="77"/>
      <c r="E358" s="77"/>
      <c r="F358" s="77"/>
      <c r="G358" s="77"/>
      <c r="H358" s="77"/>
      <c r="I358" s="77"/>
      <c r="J358" s="77"/>
      <c r="K358" s="77"/>
      <c r="L358" s="77"/>
      <c r="M358" s="77"/>
      <c r="N358" s="77"/>
      <c r="O358" s="77"/>
    </row>
    <row r="359" spans="4:15" ht="15" customHeight="1">
      <c r="D359" s="77"/>
      <c r="E359" s="77"/>
      <c r="F359" s="77"/>
      <c r="G359" s="77"/>
      <c r="H359" s="77"/>
      <c r="I359" s="77"/>
      <c r="J359" s="77"/>
      <c r="K359" s="77"/>
      <c r="L359" s="77"/>
      <c r="M359" s="77"/>
      <c r="N359" s="77"/>
      <c r="O359" s="77"/>
    </row>
    <row r="360" spans="4:15" ht="15" customHeight="1">
      <c r="D360" s="77"/>
      <c r="E360" s="77"/>
      <c r="F360" s="77"/>
      <c r="G360" s="77"/>
      <c r="H360" s="77"/>
      <c r="I360" s="77"/>
      <c r="J360" s="77"/>
      <c r="K360" s="77"/>
      <c r="L360" s="77"/>
      <c r="M360" s="77"/>
      <c r="N360" s="77"/>
      <c r="O360" s="77"/>
    </row>
    <row r="361" spans="4:15" ht="15" customHeight="1">
      <c r="D361" s="77"/>
      <c r="E361" s="77"/>
      <c r="F361" s="77"/>
      <c r="G361" s="77"/>
      <c r="H361" s="77"/>
      <c r="I361" s="77"/>
      <c r="J361" s="77"/>
      <c r="K361" s="77"/>
      <c r="L361" s="77"/>
      <c r="M361" s="77"/>
      <c r="N361" s="77"/>
      <c r="O361" s="77"/>
    </row>
    <row r="362" spans="4:15" ht="15" customHeight="1">
      <c r="D362" s="77"/>
      <c r="E362" s="77"/>
      <c r="F362" s="77"/>
      <c r="G362" s="77"/>
      <c r="H362" s="77"/>
      <c r="I362" s="77"/>
      <c r="J362" s="77"/>
      <c r="K362" s="77"/>
      <c r="L362" s="77"/>
      <c r="M362" s="77"/>
      <c r="N362" s="77"/>
      <c r="O362" s="77"/>
    </row>
    <row r="363" spans="4:15" ht="15" customHeight="1">
      <c r="D363" s="77"/>
      <c r="E363" s="77"/>
      <c r="F363" s="77"/>
      <c r="G363" s="77"/>
      <c r="H363" s="77"/>
      <c r="I363" s="77"/>
      <c r="J363" s="77"/>
      <c r="K363" s="77"/>
      <c r="L363" s="77"/>
      <c r="M363" s="77"/>
      <c r="N363" s="77"/>
      <c r="O363" s="77"/>
    </row>
    <row r="364" spans="4:15" ht="15" customHeight="1">
      <c r="D364" s="77"/>
      <c r="E364" s="77"/>
      <c r="F364" s="77"/>
      <c r="G364" s="77"/>
      <c r="H364" s="77"/>
      <c r="I364" s="77"/>
      <c r="J364" s="77"/>
      <c r="K364" s="77"/>
      <c r="L364" s="77"/>
      <c r="M364" s="77"/>
      <c r="N364" s="77"/>
      <c r="O364" s="77"/>
    </row>
    <row r="365" spans="4:15" ht="15" customHeight="1">
      <c r="D365" s="77"/>
      <c r="E365" s="77"/>
      <c r="F365" s="77"/>
      <c r="G365" s="77"/>
      <c r="H365" s="77"/>
      <c r="I365" s="77"/>
      <c r="J365" s="77"/>
      <c r="K365" s="77"/>
      <c r="L365" s="77"/>
      <c r="M365" s="77"/>
      <c r="N365" s="77"/>
      <c r="O365" s="77"/>
    </row>
    <row r="366" spans="4:15" ht="15" customHeight="1">
      <c r="D366" s="77"/>
      <c r="E366" s="77"/>
      <c r="F366" s="77"/>
      <c r="G366" s="77"/>
      <c r="H366" s="77"/>
      <c r="I366" s="77"/>
      <c r="J366" s="77"/>
      <c r="K366" s="77"/>
      <c r="L366" s="77"/>
      <c r="M366" s="77"/>
      <c r="N366" s="77"/>
      <c r="O366" s="77"/>
    </row>
    <row r="367" spans="4:15" ht="15" customHeight="1">
      <c r="D367" s="77"/>
      <c r="E367" s="77"/>
      <c r="F367" s="77"/>
      <c r="G367" s="77"/>
      <c r="H367" s="77"/>
      <c r="I367" s="77"/>
      <c r="J367" s="77"/>
      <c r="K367" s="77"/>
      <c r="L367" s="77"/>
      <c r="M367" s="77"/>
      <c r="N367" s="77"/>
      <c r="O367" s="77"/>
    </row>
    <row r="368" spans="4:15" ht="15" customHeight="1">
      <c r="D368" s="77"/>
      <c r="E368" s="77"/>
      <c r="F368" s="77"/>
      <c r="G368" s="77"/>
      <c r="H368" s="77"/>
      <c r="I368" s="77"/>
      <c r="J368" s="77"/>
      <c r="K368" s="77"/>
      <c r="L368" s="77"/>
      <c r="M368" s="77"/>
      <c r="N368" s="77"/>
      <c r="O368" s="77"/>
    </row>
    <row r="369" spans="4:15" ht="15" customHeight="1">
      <c r="D369" s="77"/>
      <c r="E369" s="77"/>
      <c r="F369" s="77"/>
      <c r="G369" s="77"/>
      <c r="H369" s="77"/>
      <c r="I369" s="77"/>
      <c r="J369" s="77"/>
      <c r="K369" s="77"/>
      <c r="L369" s="77"/>
      <c r="M369" s="77"/>
      <c r="N369" s="77"/>
      <c r="O369" s="77"/>
    </row>
    <row r="370" spans="4:15" ht="15" customHeight="1">
      <c r="D370" s="77"/>
      <c r="E370" s="77"/>
      <c r="F370" s="77"/>
      <c r="G370" s="77"/>
      <c r="H370" s="77"/>
      <c r="I370" s="77"/>
      <c r="J370" s="77"/>
      <c r="K370" s="77"/>
      <c r="L370" s="77"/>
      <c r="M370" s="77"/>
      <c r="N370" s="77"/>
      <c r="O370" s="77"/>
    </row>
    <row r="371" spans="4:15" ht="15" customHeight="1">
      <c r="D371" s="77"/>
      <c r="E371" s="77"/>
      <c r="F371" s="77"/>
      <c r="G371" s="77"/>
      <c r="H371" s="77"/>
      <c r="I371" s="77"/>
      <c r="J371" s="77"/>
      <c r="K371" s="77"/>
      <c r="L371" s="77"/>
      <c r="M371" s="77"/>
      <c r="N371" s="77"/>
      <c r="O371" s="77"/>
    </row>
    <row r="372" spans="4:15" ht="15" customHeight="1">
      <c r="D372" s="77"/>
      <c r="E372" s="77"/>
      <c r="F372" s="77"/>
      <c r="G372" s="77"/>
      <c r="H372" s="77"/>
      <c r="I372" s="77"/>
      <c r="J372" s="77"/>
      <c r="K372" s="77"/>
      <c r="L372" s="77"/>
      <c r="M372" s="77"/>
      <c r="N372" s="77"/>
      <c r="O372" s="77"/>
    </row>
    <row r="373" spans="4:15" ht="15" customHeight="1">
      <c r="D373" s="77"/>
      <c r="E373" s="77"/>
      <c r="F373" s="77"/>
      <c r="G373" s="77"/>
      <c r="H373" s="77"/>
      <c r="I373" s="77"/>
      <c r="J373" s="77"/>
      <c r="K373" s="77"/>
      <c r="L373" s="77"/>
      <c r="M373" s="77"/>
      <c r="N373" s="77"/>
      <c r="O373" s="77"/>
    </row>
    <row r="374" spans="4:15" ht="15" customHeight="1">
      <c r="D374" s="77"/>
      <c r="E374" s="77"/>
      <c r="F374" s="77"/>
      <c r="G374" s="77"/>
      <c r="H374" s="77"/>
      <c r="I374" s="77"/>
      <c r="J374" s="77"/>
      <c r="K374" s="77"/>
      <c r="L374" s="77"/>
      <c r="M374" s="77"/>
      <c r="N374" s="77"/>
      <c r="O374" s="77"/>
    </row>
    <row r="375" spans="4:15" ht="15" customHeight="1">
      <c r="D375" s="77"/>
      <c r="E375" s="77"/>
      <c r="F375" s="77"/>
      <c r="G375" s="77"/>
      <c r="H375" s="77"/>
      <c r="I375" s="77"/>
      <c r="J375" s="77"/>
      <c r="K375" s="77"/>
      <c r="L375" s="77"/>
      <c r="M375" s="77"/>
      <c r="N375" s="77"/>
      <c r="O375" s="77"/>
    </row>
    <row r="376" spans="4:15" ht="15" customHeight="1">
      <c r="D376" s="77"/>
      <c r="E376" s="77"/>
      <c r="F376" s="77"/>
      <c r="G376" s="77"/>
      <c r="H376" s="77"/>
      <c r="I376" s="77"/>
      <c r="J376" s="77"/>
      <c r="K376" s="77"/>
      <c r="L376" s="77"/>
      <c r="M376" s="77"/>
      <c r="N376" s="77"/>
      <c r="O376" s="77"/>
    </row>
    <row r="377" spans="4:15" ht="15" customHeight="1">
      <c r="D377" s="77"/>
      <c r="E377" s="77"/>
      <c r="F377" s="77"/>
      <c r="G377" s="77"/>
      <c r="H377" s="77"/>
      <c r="I377" s="77"/>
      <c r="J377" s="77"/>
      <c r="K377" s="77"/>
      <c r="L377" s="77"/>
      <c r="M377" s="77"/>
      <c r="N377" s="77"/>
      <c r="O377" s="77"/>
    </row>
    <row r="378" spans="4:15" ht="15" customHeight="1">
      <c r="D378" s="77"/>
      <c r="E378" s="77"/>
      <c r="F378" s="77"/>
      <c r="G378" s="77"/>
      <c r="H378" s="77"/>
      <c r="I378" s="77"/>
      <c r="J378" s="77"/>
      <c r="K378" s="77"/>
      <c r="L378" s="77"/>
      <c r="M378" s="77"/>
      <c r="N378" s="77"/>
      <c r="O378" s="77"/>
    </row>
    <row r="379" spans="4:15" ht="15" customHeight="1">
      <c r="D379" s="77"/>
      <c r="E379" s="77"/>
      <c r="F379" s="77"/>
      <c r="G379" s="77"/>
      <c r="H379" s="77"/>
      <c r="I379" s="77"/>
      <c r="J379" s="77"/>
      <c r="K379" s="77"/>
      <c r="L379" s="77"/>
      <c r="M379" s="77"/>
      <c r="N379" s="77"/>
      <c r="O379" s="77"/>
    </row>
    <row r="380" spans="4:15" ht="15" customHeight="1">
      <c r="D380" s="77"/>
      <c r="E380" s="77"/>
      <c r="F380" s="77"/>
      <c r="G380" s="77"/>
      <c r="H380" s="77"/>
      <c r="I380" s="77"/>
      <c r="J380" s="77"/>
      <c r="K380" s="77"/>
      <c r="L380" s="77"/>
      <c r="M380" s="77"/>
      <c r="N380" s="77"/>
      <c r="O380" s="77"/>
    </row>
    <row r="381" spans="4:15" ht="15" customHeight="1">
      <c r="D381" s="77"/>
      <c r="E381" s="77"/>
      <c r="F381" s="77"/>
      <c r="G381" s="77"/>
      <c r="H381" s="77"/>
      <c r="I381" s="77"/>
      <c r="J381" s="77"/>
      <c r="K381" s="77"/>
      <c r="L381" s="77"/>
      <c r="M381" s="77"/>
      <c r="N381" s="77"/>
      <c r="O381" s="77"/>
    </row>
    <row r="382" spans="4:15" ht="15" customHeight="1">
      <c r="D382" s="77"/>
      <c r="E382" s="77"/>
      <c r="F382" s="77"/>
      <c r="G382" s="77"/>
      <c r="H382" s="77"/>
      <c r="I382" s="77"/>
      <c r="J382" s="77"/>
      <c r="K382" s="77"/>
      <c r="L382" s="77"/>
      <c r="M382" s="77"/>
      <c r="N382" s="77"/>
      <c r="O382" s="77"/>
    </row>
    <row r="383" spans="4:15" ht="15" customHeight="1">
      <c r="D383" s="77"/>
      <c r="E383" s="77"/>
      <c r="F383" s="77"/>
      <c r="G383" s="77"/>
      <c r="H383" s="77"/>
      <c r="I383" s="77"/>
      <c r="J383" s="77"/>
      <c r="K383" s="77"/>
      <c r="L383" s="77"/>
      <c r="M383" s="77"/>
      <c r="N383" s="77"/>
      <c r="O383" s="77"/>
    </row>
    <row r="384" spans="4:15" ht="15" customHeight="1">
      <c r="D384" s="77"/>
      <c r="E384" s="77"/>
      <c r="F384" s="77"/>
      <c r="G384" s="77"/>
      <c r="H384" s="77"/>
      <c r="I384" s="77"/>
      <c r="J384" s="77"/>
      <c r="K384" s="77"/>
      <c r="L384" s="77"/>
      <c r="M384" s="77"/>
      <c r="N384" s="77"/>
      <c r="O384" s="77"/>
    </row>
    <row r="385" spans="4:15" ht="15" customHeight="1">
      <c r="D385" s="77"/>
      <c r="E385" s="77"/>
      <c r="F385" s="77"/>
      <c r="G385" s="77"/>
      <c r="H385" s="77"/>
      <c r="I385" s="77"/>
      <c r="J385" s="77"/>
      <c r="K385" s="77"/>
      <c r="L385" s="77"/>
      <c r="M385" s="77"/>
      <c r="N385" s="77"/>
      <c r="O385" s="77"/>
    </row>
    <row r="386" spans="4:15" ht="15" customHeight="1">
      <c r="D386" s="77"/>
      <c r="E386" s="77"/>
      <c r="F386" s="77"/>
      <c r="G386" s="77"/>
      <c r="H386" s="77"/>
      <c r="I386" s="77"/>
      <c r="J386" s="77"/>
      <c r="K386" s="77"/>
      <c r="L386" s="77"/>
      <c r="M386" s="77"/>
      <c r="N386" s="77"/>
      <c r="O386" s="77"/>
    </row>
    <row r="387" spans="4:15" ht="15" customHeight="1">
      <c r="D387" s="77"/>
      <c r="E387" s="77"/>
      <c r="F387" s="77"/>
      <c r="G387" s="77"/>
      <c r="H387" s="77"/>
      <c r="I387" s="77"/>
      <c r="J387" s="77"/>
      <c r="K387" s="77"/>
      <c r="L387" s="77"/>
      <c r="M387" s="77"/>
      <c r="N387" s="77"/>
      <c r="O387" s="77"/>
    </row>
    <row r="388" spans="4:15" ht="15" customHeight="1">
      <c r="D388" s="77"/>
      <c r="E388" s="77"/>
      <c r="F388" s="77"/>
      <c r="G388" s="77"/>
      <c r="H388" s="77"/>
      <c r="I388" s="77"/>
      <c r="J388" s="77"/>
      <c r="K388" s="77"/>
      <c r="L388" s="77"/>
      <c r="M388" s="77"/>
      <c r="N388" s="77"/>
      <c r="O388" s="77"/>
    </row>
    <row r="389" spans="4:15" ht="15" customHeight="1">
      <c r="D389" s="77"/>
      <c r="E389" s="77"/>
      <c r="F389" s="77"/>
      <c r="G389" s="77"/>
      <c r="H389" s="77"/>
      <c r="I389" s="77"/>
      <c r="J389" s="77"/>
      <c r="K389" s="77"/>
      <c r="L389" s="77"/>
      <c r="M389" s="77"/>
      <c r="N389" s="77"/>
      <c r="O389" s="77"/>
    </row>
    <row r="390" spans="4:15" ht="15" customHeight="1">
      <c r="D390" s="77"/>
      <c r="E390" s="77"/>
      <c r="F390" s="77"/>
      <c r="G390" s="77"/>
      <c r="H390" s="77"/>
      <c r="I390" s="77"/>
      <c r="J390" s="77"/>
      <c r="K390" s="77"/>
      <c r="L390" s="77"/>
      <c r="M390" s="77"/>
      <c r="N390" s="77"/>
      <c r="O390" s="77"/>
    </row>
    <row r="391" spans="4:15" ht="15" customHeight="1">
      <c r="D391" s="77"/>
      <c r="E391" s="77"/>
      <c r="F391" s="77"/>
      <c r="G391" s="77"/>
      <c r="H391" s="77"/>
      <c r="I391" s="77"/>
      <c r="J391" s="77"/>
      <c r="K391" s="77"/>
      <c r="L391" s="77"/>
      <c r="M391" s="77"/>
      <c r="N391" s="77"/>
      <c r="O391" s="77"/>
    </row>
    <row r="392" spans="4:15" ht="15" customHeight="1">
      <c r="D392" s="77"/>
      <c r="E392" s="77"/>
      <c r="F392" s="77"/>
      <c r="G392" s="77"/>
      <c r="H392" s="77"/>
      <c r="I392" s="77"/>
      <c r="J392" s="77"/>
      <c r="K392" s="77"/>
      <c r="L392" s="77"/>
      <c r="M392" s="77"/>
      <c r="N392" s="77"/>
      <c r="O392" s="77"/>
    </row>
    <row r="393" spans="4:15" ht="15" customHeight="1">
      <c r="D393" s="77"/>
      <c r="E393" s="77"/>
      <c r="F393" s="77"/>
      <c r="G393" s="77"/>
      <c r="H393" s="77"/>
      <c r="I393" s="77"/>
      <c r="J393" s="77"/>
      <c r="K393" s="77"/>
      <c r="L393" s="77"/>
      <c r="M393" s="77"/>
      <c r="N393" s="77"/>
      <c r="O393" s="77"/>
    </row>
    <row r="394" spans="4:15" ht="15" customHeight="1">
      <c r="D394" s="77"/>
      <c r="E394" s="77"/>
      <c r="F394" s="77"/>
      <c r="G394" s="77"/>
      <c r="H394" s="77"/>
      <c r="I394" s="77"/>
      <c r="J394" s="77"/>
      <c r="K394" s="77"/>
      <c r="L394" s="77"/>
      <c r="M394" s="77"/>
      <c r="N394" s="77"/>
      <c r="O394" s="77"/>
    </row>
    <row r="395" spans="4:15" ht="15" customHeight="1">
      <c r="D395" s="77"/>
      <c r="E395" s="77"/>
      <c r="F395" s="77"/>
      <c r="G395" s="77"/>
      <c r="H395" s="77"/>
      <c r="I395" s="77"/>
      <c r="J395" s="77"/>
      <c r="K395" s="77"/>
      <c r="L395" s="77"/>
      <c r="M395" s="77"/>
      <c r="N395" s="77"/>
      <c r="O395" s="77"/>
    </row>
    <row r="396" spans="4:15" ht="15" customHeight="1">
      <c r="D396" s="77"/>
      <c r="E396" s="77"/>
      <c r="F396" s="77"/>
      <c r="G396" s="77"/>
      <c r="H396" s="77"/>
      <c r="I396" s="77"/>
      <c r="J396" s="77"/>
      <c r="K396" s="77"/>
      <c r="L396" s="77"/>
      <c r="M396" s="77"/>
      <c r="N396" s="77"/>
      <c r="O396" s="77"/>
    </row>
    <row r="397" spans="4:15" ht="15" customHeight="1">
      <c r="D397" s="77"/>
      <c r="E397" s="77"/>
      <c r="F397" s="77"/>
      <c r="G397" s="77"/>
      <c r="H397" s="77"/>
      <c r="I397" s="77"/>
      <c r="J397" s="77"/>
      <c r="K397" s="77"/>
      <c r="L397" s="77"/>
      <c r="M397" s="77"/>
      <c r="N397" s="77"/>
      <c r="O397" s="77"/>
    </row>
    <row r="398" spans="4:15" ht="15" customHeight="1">
      <c r="D398" s="77"/>
      <c r="E398" s="77"/>
      <c r="F398" s="77"/>
      <c r="G398" s="77"/>
      <c r="H398" s="77"/>
      <c r="I398" s="77"/>
      <c r="J398" s="77"/>
      <c r="K398" s="77"/>
      <c r="L398" s="77"/>
      <c r="M398" s="77"/>
      <c r="N398" s="77"/>
      <c r="O398" s="77"/>
    </row>
    <row r="399" spans="4:15" ht="15" customHeight="1">
      <c r="D399" s="77"/>
      <c r="E399" s="77"/>
      <c r="F399" s="77"/>
      <c r="G399" s="77"/>
      <c r="H399" s="77"/>
      <c r="I399" s="77"/>
      <c r="J399" s="77"/>
      <c r="K399" s="77"/>
      <c r="L399" s="77"/>
      <c r="M399" s="77"/>
      <c r="N399" s="77"/>
      <c r="O399" s="77"/>
    </row>
    <row r="400" spans="4:15" ht="15" customHeight="1">
      <c r="D400" s="77"/>
      <c r="E400" s="77"/>
      <c r="F400" s="77"/>
      <c r="G400" s="77"/>
      <c r="H400" s="77"/>
      <c r="I400" s="77"/>
      <c r="J400" s="77"/>
      <c r="K400" s="77"/>
      <c r="L400" s="77"/>
      <c r="M400" s="77"/>
      <c r="N400" s="77"/>
      <c r="O400" s="77"/>
    </row>
    <row r="401" spans="4:15" ht="15" customHeight="1">
      <c r="D401" s="77"/>
      <c r="E401" s="77"/>
      <c r="F401" s="77"/>
      <c r="G401" s="77"/>
      <c r="H401" s="77"/>
      <c r="I401" s="77"/>
      <c r="J401" s="77"/>
      <c r="K401" s="77"/>
      <c r="L401" s="77"/>
      <c r="M401" s="77"/>
      <c r="N401" s="77"/>
      <c r="O401" s="77"/>
    </row>
    <row r="402" spans="4:15" ht="15" customHeight="1">
      <c r="D402" s="77"/>
      <c r="E402" s="77"/>
      <c r="F402" s="77"/>
      <c r="G402" s="77"/>
      <c r="H402" s="77"/>
      <c r="I402" s="77"/>
      <c r="J402" s="77"/>
      <c r="K402" s="77"/>
      <c r="L402" s="77"/>
      <c r="M402" s="77"/>
      <c r="N402" s="77"/>
      <c r="O402" s="77"/>
    </row>
    <row r="403" spans="4:15" ht="15" customHeight="1">
      <c r="D403" s="77"/>
      <c r="E403" s="77"/>
      <c r="F403" s="77"/>
      <c r="G403" s="77"/>
      <c r="H403" s="77"/>
      <c r="I403" s="77"/>
      <c r="J403" s="77"/>
      <c r="K403" s="77"/>
      <c r="L403" s="77"/>
      <c r="M403" s="77"/>
      <c r="N403" s="77"/>
      <c r="O403" s="77"/>
    </row>
    <row r="404" spans="4:15" ht="15" customHeight="1">
      <c r="D404" s="77"/>
      <c r="E404" s="77"/>
      <c r="F404" s="77"/>
      <c r="G404" s="77"/>
      <c r="H404" s="77"/>
      <c r="I404" s="77"/>
      <c r="J404" s="77"/>
      <c r="K404" s="77"/>
      <c r="L404" s="77"/>
      <c r="M404" s="77"/>
      <c r="N404" s="77"/>
      <c r="O404" s="77"/>
    </row>
    <row r="405" spans="4:15" ht="15" customHeight="1">
      <c r="D405" s="77"/>
      <c r="E405" s="77"/>
      <c r="F405" s="77"/>
      <c r="G405" s="77"/>
      <c r="H405" s="77"/>
      <c r="I405" s="77"/>
      <c r="J405" s="77"/>
      <c r="K405" s="77"/>
      <c r="L405" s="77"/>
      <c r="M405" s="77"/>
      <c r="N405" s="77"/>
      <c r="O405" s="77"/>
    </row>
    <row r="406" spans="4:15" ht="15" customHeight="1">
      <c r="D406" s="77"/>
      <c r="E406" s="77"/>
      <c r="F406" s="77"/>
      <c r="G406" s="77"/>
      <c r="H406" s="77"/>
      <c r="I406" s="77"/>
      <c r="J406" s="77"/>
      <c r="K406" s="77"/>
      <c r="L406" s="77"/>
      <c r="M406" s="77"/>
      <c r="N406" s="77"/>
      <c r="O406" s="77"/>
    </row>
    <row r="407" spans="4:15" ht="15" customHeight="1">
      <c r="D407" s="77"/>
      <c r="E407" s="77"/>
      <c r="F407" s="77"/>
      <c r="G407" s="77"/>
      <c r="H407" s="77"/>
      <c r="I407" s="77"/>
      <c r="J407" s="77"/>
      <c r="K407" s="77"/>
      <c r="L407" s="77"/>
      <c r="M407" s="77"/>
      <c r="N407" s="77"/>
      <c r="O407" s="77"/>
    </row>
    <row r="408" spans="4:15" ht="15" customHeight="1">
      <c r="D408" s="77"/>
      <c r="E408" s="77"/>
      <c r="F408" s="77"/>
      <c r="G408" s="77"/>
      <c r="H408" s="77"/>
      <c r="I408" s="77"/>
      <c r="J408" s="77"/>
      <c r="K408" s="77"/>
      <c r="L408" s="77"/>
      <c r="M408" s="77"/>
      <c r="N408" s="77"/>
      <c r="O408" s="77"/>
    </row>
    <row r="409" spans="4:15" ht="15" customHeight="1">
      <c r="D409" s="77"/>
      <c r="E409" s="77"/>
      <c r="F409" s="77"/>
      <c r="G409" s="77"/>
      <c r="H409" s="77"/>
      <c r="I409" s="77"/>
      <c r="J409" s="77"/>
      <c r="K409" s="77"/>
      <c r="L409" s="77"/>
      <c r="M409" s="77"/>
      <c r="N409" s="77"/>
      <c r="O409" s="77"/>
    </row>
    <row r="410" spans="4:15" ht="15" customHeight="1">
      <c r="D410" s="77"/>
      <c r="E410" s="77"/>
      <c r="F410" s="77"/>
      <c r="G410" s="77"/>
      <c r="H410" s="77"/>
      <c r="I410" s="77"/>
      <c r="J410" s="77"/>
      <c r="K410" s="77"/>
      <c r="L410" s="77"/>
      <c r="M410" s="77"/>
      <c r="N410" s="77"/>
      <c r="O410" s="77"/>
    </row>
    <row r="411" spans="4:15" ht="15" customHeight="1">
      <c r="D411" s="77"/>
      <c r="E411" s="77"/>
      <c r="F411" s="77"/>
      <c r="G411" s="77"/>
      <c r="H411" s="77"/>
      <c r="I411" s="77"/>
      <c r="J411" s="77"/>
      <c r="K411" s="77"/>
      <c r="L411" s="77"/>
      <c r="M411" s="77"/>
      <c r="N411" s="77"/>
      <c r="O411" s="77"/>
    </row>
    <row r="412" spans="4:15" ht="15" customHeight="1">
      <c r="D412" s="77"/>
      <c r="E412" s="77"/>
      <c r="F412" s="77"/>
      <c r="G412" s="77"/>
      <c r="H412" s="77"/>
      <c r="I412" s="77"/>
      <c r="J412" s="77"/>
      <c r="K412" s="77"/>
      <c r="L412" s="77"/>
      <c r="M412" s="77"/>
      <c r="N412" s="77"/>
      <c r="O412" s="77"/>
    </row>
    <row r="413" spans="4:15" ht="15" customHeight="1">
      <c r="D413" s="77"/>
      <c r="E413" s="77"/>
      <c r="F413" s="77"/>
      <c r="G413" s="77"/>
      <c r="H413" s="77"/>
      <c r="I413" s="77"/>
      <c r="J413" s="77"/>
      <c r="K413" s="77"/>
      <c r="L413" s="77"/>
      <c r="M413" s="77"/>
      <c r="N413" s="77"/>
      <c r="O413" s="77"/>
    </row>
    <row r="414" spans="4:15" ht="15" customHeight="1">
      <c r="D414" s="77"/>
      <c r="E414" s="77"/>
      <c r="F414" s="77"/>
      <c r="G414" s="77"/>
      <c r="H414" s="77"/>
      <c r="I414" s="77"/>
      <c r="J414" s="77"/>
      <c r="K414" s="77"/>
      <c r="L414" s="77"/>
      <c r="M414" s="77"/>
      <c r="N414" s="77"/>
      <c r="O414" s="77"/>
    </row>
    <row r="415" spans="4:15" ht="15" customHeight="1">
      <c r="D415" s="77"/>
      <c r="E415" s="77"/>
      <c r="F415" s="77"/>
      <c r="G415" s="77"/>
      <c r="H415" s="77"/>
      <c r="I415" s="77"/>
      <c r="J415" s="77"/>
      <c r="K415" s="77"/>
      <c r="L415" s="77"/>
      <c r="M415" s="77"/>
      <c r="N415" s="77"/>
      <c r="O415" s="77"/>
    </row>
    <row r="416" spans="4:15" ht="15" customHeight="1">
      <c r="D416" s="77"/>
      <c r="E416" s="77"/>
      <c r="F416" s="77"/>
      <c r="G416" s="77"/>
      <c r="H416" s="77"/>
      <c r="I416" s="77"/>
      <c r="J416" s="77"/>
      <c r="K416" s="77"/>
      <c r="L416" s="77"/>
      <c r="M416" s="77"/>
      <c r="N416" s="77"/>
      <c r="O416" s="77"/>
    </row>
    <row r="417" spans="4:15" ht="15" customHeight="1">
      <c r="D417" s="77"/>
      <c r="E417" s="77"/>
      <c r="F417" s="77"/>
      <c r="G417" s="77"/>
      <c r="H417" s="77"/>
      <c r="I417" s="77"/>
      <c r="J417" s="77"/>
      <c r="K417" s="77"/>
      <c r="L417" s="77"/>
      <c r="M417" s="77"/>
      <c r="N417" s="77"/>
      <c r="O417" s="77"/>
    </row>
    <row r="418" spans="4:15" ht="15" customHeight="1">
      <c r="D418" s="77"/>
      <c r="E418" s="77"/>
      <c r="F418" s="77"/>
      <c r="G418" s="77"/>
      <c r="H418" s="77"/>
      <c r="I418" s="77"/>
      <c r="J418" s="77"/>
      <c r="K418" s="77"/>
      <c r="L418" s="77"/>
      <c r="M418" s="77"/>
      <c r="N418" s="77"/>
      <c r="O418" s="77"/>
    </row>
    <row r="419" spans="4:15" ht="15" customHeight="1">
      <c r="D419" s="77"/>
      <c r="E419" s="77"/>
      <c r="F419" s="77"/>
      <c r="G419" s="77"/>
      <c r="H419" s="77"/>
      <c r="I419" s="77"/>
      <c r="J419" s="77"/>
      <c r="K419" s="77"/>
      <c r="L419" s="77"/>
      <c r="M419" s="77"/>
      <c r="N419" s="77"/>
      <c r="O419" s="77"/>
    </row>
    <row r="420" spans="4:15" ht="15" customHeight="1">
      <c r="D420" s="77"/>
      <c r="E420" s="77"/>
      <c r="F420" s="77"/>
      <c r="G420" s="77"/>
      <c r="H420" s="77"/>
      <c r="I420" s="77"/>
      <c r="J420" s="77"/>
      <c r="K420" s="77"/>
      <c r="L420" s="77"/>
      <c r="M420" s="77"/>
      <c r="N420" s="77"/>
      <c r="O420" s="77"/>
    </row>
  </sheetData>
  <printOptions horizontalCentered="1"/>
  <pageMargins left="0.39370078740157483" right="0.39370078740157483" top="0.39370078740157483" bottom="0.39370078740157483" header="0.31496062992125984" footer="0.31496062992125984"/>
  <pageSetup paperSize="9" scale="75" fitToWidth="0" fitToHeight="0" orientation="landscape" r:id="rId1"/>
  <rowBreaks count="6" manualBreakCount="6">
    <brk id="51" max="16383" man="1"/>
    <brk id="126" max="16383" man="1"/>
    <brk id="174" max="16383" man="1"/>
    <brk id="201" max="16383" man="1"/>
    <brk id="234" max="16383" man="1"/>
    <brk id="2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71"/>
  <sheetViews>
    <sheetView topLeftCell="A154" workbookViewId="0">
      <selection activeCell="B19" sqref="B19"/>
    </sheetView>
  </sheetViews>
  <sheetFormatPr defaultRowHeight="12.75"/>
  <cols>
    <col min="1" max="1" width="43.42578125" customWidth="1"/>
    <col min="2" max="2" width="10.7109375" bestFit="1" customWidth="1"/>
    <col min="3" max="11" width="12.28515625" bestFit="1" customWidth="1"/>
    <col min="12" max="13" width="13.42578125" bestFit="1" customWidth="1"/>
  </cols>
  <sheetData>
    <row r="2" spans="1:13">
      <c r="A2" s="73" t="s">
        <v>45</v>
      </c>
    </row>
    <row r="3" spans="1:13">
      <c r="A3" s="73"/>
    </row>
    <row r="4" spans="1:13">
      <c r="B4" s="146">
        <f>'Financial Data Input'!D4</f>
        <v>41851</v>
      </c>
      <c r="C4" s="146">
        <f>'Financial Data Input'!E4</f>
        <v>41882</v>
      </c>
      <c r="D4" s="146">
        <f>'Financial Data Input'!F4</f>
        <v>41912</v>
      </c>
      <c r="E4" s="146">
        <f>'Financial Data Input'!G4</f>
        <v>41943</v>
      </c>
      <c r="F4" s="146">
        <f>'Financial Data Input'!H4</f>
        <v>41973</v>
      </c>
      <c r="G4" s="146">
        <f>'Financial Data Input'!I4</f>
        <v>42004</v>
      </c>
      <c r="H4" s="146">
        <f>'Financial Data Input'!J4</f>
        <v>42035</v>
      </c>
      <c r="I4" s="146">
        <f>'Financial Data Input'!K4</f>
        <v>42063</v>
      </c>
      <c r="J4" s="146">
        <f>'Financial Data Input'!L4</f>
        <v>42094</v>
      </c>
      <c r="K4" s="146">
        <f>'Financial Data Input'!M4</f>
        <v>42124</v>
      </c>
      <c r="L4" s="146">
        <f>'Financial Data Input'!N4</f>
        <v>42155</v>
      </c>
      <c r="M4" s="146">
        <f>'Financial Data Input'!O4</f>
        <v>42185</v>
      </c>
    </row>
    <row r="5" spans="1:13">
      <c r="A5" s="94" t="s">
        <v>37</v>
      </c>
      <c r="B5" s="147">
        <f>'Financial Data Input'!D97</f>
        <v>1200</v>
      </c>
      <c r="C5" s="147">
        <f>'Financial Data Input'!E97</f>
        <v>1466</v>
      </c>
      <c r="D5" s="147">
        <f>'Financial Data Input'!F97</f>
        <v>1557</v>
      </c>
      <c r="E5" s="147">
        <f>'Financial Data Input'!G97</f>
        <v>1707</v>
      </c>
      <c r="F5" s="147">
        <f>'Financial Data Input'!H97</f>
        <v>568</v>
      </c>
      <c r="G5" s="147">
        <f>'Financial Data Input'!I97</f>
        <v>0</v>
      </c>
      <c r="H5" s="147">
        <f>'Financial Data Input'!J97</f>
        <v>0</v>
      </c>
      <c r="I5" s="147">
        <f>'Financial Data Input'!K97</f>
        <v>0</v>
      </c>
      <c r="J5" s="147">
        <f>'Financial Data Input'!L97</f>
        <v>0</v>
      </c>
      <c r="K5" s="147">
        <f>'Financial Data Input'!M97</f>
        <v>0</v>
      </c>
      <c r="L5" s="147">
        <f>'Financial Data Input'!N97</f>
        <v>0</v>
      </c>
      <c r="M5" s="147">
        <f>'Financial Data Input'!O97</f>
        <v>0</v>
      </c>
    </row>
    <row r="6" spans="1:13">
      <c r="A6" s="94"/>
      <c r="B6" s="146">
        <f>B4</f>
        <v>41851</v>
      </c>
      <c r="C6" s="146">
        <f t="shared" ref="C6:M11" si="0">C4</f>
        <v>41882</v>
      </c>
      <c r="D6" s="146">
        <f t="shared" si="0"/>
        <v>41912</v>
      </c>
      <c r="E6" s="146">
        <f t="shared" si="0"/>
        <v>41943</v>
      </c>
      <c r="F6" s="146">
        <f t="shared" si="0"/>
        <v>41973</v>
      </c>
      <c r="G6" s="146">
        <f t="shared" si="0"/>
        <v>42004</v>
      </c>
      <c r="H6" s="146">
        <f t="shared" si="0"/>
        <v>42035</v>
      </c>
      <c r="I6" s="146">
        <f t="shared" si="0"/>
        <v>42063</v>
      </c>
      <c r="J6" s="146">
        <f t="shared" si="0"/>
        <v>42094</v>
      </c>
      <c r="K6" s="146">
        <f t="shared" si="0"/>
        <v>42124</v>
      </c>
      <c r="L6" s="146">
        <f t="shared" si="0"/>
        <v>42155</v>
      </c>
      <c r="M6" s="146">
        <f t="shared" si="0"/>
        <v>42185</v>
      </c>
    </row>
    <row r="7" spans="1:13">
      <c r="A7" s="94" t="s">
        <v>144</v>
      </c>
      <c r="B7" s="139">
        <f>'Financial Data Input'!D103</f>
        <v>1.7977099236641221</v>
      </c>
      <c r="C7" s="139">
        <f>'Financial Data Input'!E103</f>
        <v>2.0164062500000002</v>
      </c>
      <c r="D7" s="139">
        <f>'Financial Data Input'!F103</f>
        <v>2.2794117647058822</v>
      </c>
      <c r="E7" s="139">
        <f>'Financial Data Input'!G103</f>
        <v>2.329310344827586</v>
      </c>
      <c r="F7" s="139">
        <f>'Financial Data Input'!H103</f>
        <v>1.1931297709923665</v>
      </c>
      <c r="G7" s="139">
        <f>'Financial Data Input'!I103</f>
        <v>0</v>
      </c>
      <c r="H7" s="139">
        <f>'Financial Data Input'!J103</f>
        <v>0</v>
      </c>
      <c r="I7" s="139">
        <f>'Financial Data Input'!K103</f>
        <v>0</v>
      </c>
      <c r="J7" s="139">
        <f>'Financial Data Input'!L103</f>
        <v>0</v>
      </c>
      <c r="K7" s="139">
        <f>'Financial Data Input'!M103</f>
        <v>0</v>
      </c>
      <c r="L7" s="139">
        <f>'Financial Data Input'!N103</f>
        <v>0</v>
      </c>
      <c r="M7" s="139">
        <f>'Financial Data Input'!O103</f>
        <v>0</v>
      </c>
    </row>
    <row r="8" spans="1:13">
      <c r="A8" s="94" t="s">
        <v>143</v>
      </c>
      <c r="B8" s="139">
        <f>'Financial Data Input'!D198</f>
        <v>1.1000000000000001</v>
      </c>
      <c r="C8" s="139">
        <f>B8</f>
        <v>1.1000000000000001</v>
      </c>
      <c r="D8" s="139">
        <f t="shared" ref="D8:M8" si="1">C8</f>
        <v>1.1000000000000001</v>
      </c>
      <c r="E8" s="139">
        <f t="shared" si="1"/>
        <v>1.1000000000000001</v>
      </c>
      <c r="F8" s="139">
        <f t="shared" si="1"/>
        <v>1.1000000000000001</v>
      </c>
      <c r="G8" s="139">
        <f t="shared" si="1"/>
        <v>1.1000000000000001</v>
      </c>
      <c r="H8" s="139">
        <f t="shared" si="1"/>
        <v>1.1000000000000001</v>
      </c>
      <c r="I8" s="139">
        <f t="shared" si="1"/>
        <v>1.1000000000000001</v>
      </c>
      <c r="J8" s="139">
        <f t="shared" si="1"/>
        <v>1.1000000000000001</v>
      </c>
      <c r="K8" s="139">
        <f t="shared" si="1"/>
        <v>1.1000000000000001</v>
      </c>
      <c r="L8" s="139">
        <f t="shared" si="1"/>
        <v>1.1000000000000001</v>
      </c>
      <c r="M8" s="139">
        <f t="shared" si="1"/>
        <v>1.1000000000000001</v>
      </c>
    </row>
    <row r="9" spans="1:13">
      <c r="A9" s="94"/>
      <c r="B9" s="146">
        <f t="shared" ref="B9:M9" si="2">B6</f>
        <v>41851</v>
      </c>
      <c r="C9" s="146">
        <f t="shared" si="2"/>
        <v>41882</v>
      </c>
      <c r="D9" s="146">
        <f t="shared" si="2"/>
        <v>41912</v>
      </c>
      <c r="E9" s="146">
        <f t="shared" si="2"/>
        <v>41943</v>
      </c>
      <c r="F9" s="146">
        <f t="shared" si="2"/>
        <v>41973</v>
      </c>
      <c r="G9" s="146">
        <f t="shared" si="2"/>
        <v>42004</v>
      </c>
      <c r="H9" s="146">
        <f t="shared" si="2"/>
        <v>42035</v>
      </c>
      <c r="I9" s="146">
        <f t="shared" si="2"/>
        <v>42063</v>
      </c>
      <c r="J9" s="146">
        <f t="shared" si="2"/>
        <v>42094</v>
      </c>
      <c r="K9" s="146">
        <f t="shared" si="2"/>
        <v>42124</v>
      </c>
      <c r="L9" s="146">
        <f t="shared" si="2"/>
        <v>42155</v>
      </c>
      <c r="M9" s="146">
        <f t="shared" si="2"/>
        <v>42185</v>
      </c>
    </row>
    <row r="10" spans="1:13">
      <c r="A10" s="94" t="s">
        <v>48</v>
      </c>
      <c r="B10" s="139">
        <f>'Financial Data Input'!D101</f>
        <v>27.0149861239593</v>
      </c>
      <c r="C10" s="139">
        <f>'Financial Data Input'!E101</f>
        <v>28.515239214369654</v>
      </c>
      <c r="D10" s="139">
        <f>'Financial Data Input'!F101</f>
        <v>22.158487712665412</v>
      </c>
      <c r="E10" s="139">
        <f>'Financial Data Input'!G101</f>
        <v>29.354265639604222</v>
      </c>
      <c r="F10" s="139">
        <f>'Financial Data Input'!H101</f>
        <v>6.1088445832332461</v>
      </c>
      <c r="G10" s="139">
        <f>'Financial Data Input'!I101</f>
        <v>0</v>
      </c>
      <c r="H10" s="139">
        <f>'Financial Data Input'!J101</f>
        <v>0</v>
      </c>
      <c r="I10" s="139">
        <f>'Financial Data Input'!K101</f>
        <v>0</v>
      </c>
      <c r="J10" s="139">
        <f>'Financial Data Input'!L101</f>
        <v>0</v>
      </c>
      <c r="K10" s="139">
        <f>'Financial Data Input'!M101</f>
        <v>0</v>
      </c>
      <c r="L10" s="139">
        <f>'Financial Data Input'!N101</f>
        <v>0</v>
      </c>
      <c r="M10" s="139">
        <f>'Financial Data Input'!O101</f>
        <v>0</v>
      </c>
    </row>
    <row r="11" spans="1:13">
      <c r="A11" s="94"/>
      <c r="B11" s="146">
        <f>B9</f>
        <v>41851</v>
      </c>
      <c r="C11" s="146">
        <f t="shared" si="0"/>
        <v>41882</v>
      </c>
      <c r="D11" s="146">
        <f t="shared" si="0"/>
        <v>41912</v>
      </c>
      <c r="E11" s="146">
        <f t="shared" si="0"/>
        <v>41943</v>
      </c>
      <c r="F11" s="146">
        <f t="shared" si="0"/>
        <v>41973</v>
      </c>
      <c r="G11" s="146">
        <f t="shared" si="0"/>
        <v>42004</v>
      </c>
      <c r="H11" s="146">
        <f t="shared" si="0"/>
        <v>42035</v>
      </c>
      <c r="I11" s="146">
        <f t="shared" si="0"/>
        <v>42063</v>
      </c>
      <c r="J11" s="146">
        <f t="shared" si="0"/>
        <v>42094</v>
      </c>
      <c r="K11" s="146">
        <f t="shared" si="0"/>
        <v>42124</v>
      </c>
      <c r="L11" s="146">
        <f t="shared" si="0"/>
        <v>42155</v>
      </c>
      <c r="M11" s="146">
        <f t="shared" si="0"/>
        <v>42185</v>
      </c>
    </row>
    <row r="12" spans="1:13">
      <c r="A12" s="94" t="s">
        <v>47</v>
      </c>
      <c r="B12" s="139">
        <f>'Financial Data Input'!D102</f>
        <v>24.249510080712131</v>
      </c>
      <c r="C12" s="139">
        <f>'Financial Data Input'!E102</f>
        <v>30.076815819495504</v>
      </c>
      <c r="D12" s="139">
        <f>'Financial Data Input'!F102</f>
        <v>15.832451705603749</v>
      </c>
      <c r="E12" s="139">
        <f>'Financial Data Input'!G102</f>
        <v>23.16495630416652</v>
      </c>
      <c r="F12" s="139">
        <f>'Financial Data Input'!H102</f>
        <v>10.949502827061806</v>
      </c>
      <c r="G12" s="139">
        <f>'Financial Data Input'!I102</f>
        <v>0</v>
      </c>
      <c r="H12" s="139">
        <f>'Financial Data Input'!J102</f>
        <v>0</v>
      </c>
      <c r="I12" s="139">
        <f>'Financial Data Input'!K102</f>
        <v>0</v>
      </c>
      <c r="J12" s="139">
        <f>'Financial Data Input'!L102</f>
        <v>0</v>
      </c>
      <c r="K12" s="139">
        <f>'Financial Data Input'!M102</f>
        <v>0</v>
      </c>
      <c r="L12" s="139">
        <f>'Financial Data Input'!N102</f>
        <v>0</v>
      </c>
      <c r="M12" s="139">
        <f>'Financial Data Input'!O102</f>
        <v>0</v>
      </c>
    </row>
    <row r="13" spans="1:13">
      <c r="A13" s="94"/>
      <c r="B13" s="146">
        <f>B11</f>
        <v>41851</v>
      </c>
      <c r="C13" s="146">
        <f t="shared" ref="C13:M13" si="3">C11</f>
        <v>41882</v>
      </c>
      <c r="D13" s="146">
        <f t="shared" si="3"/>
        <v>41912</v>
      </c>
      <c r="E13" s="146">
        <f t="shared" si="3"/>
        <v>41943</v>
      </c>
      <c r="F13" s="146">
        <f t="shared" si="3"/>
        <v>41973</v>
      </c>
      <c r="G13" s="146">
        <f t="shared" si="3"/>
        <v>42004</v>
      </c>
      <c r="H13" s="146">
        <f t="shared" si="3"/>
        <v>42035</v>
      </c>
      <c r="I13" s="146">
        <f t="shared" si="3"/>
        <v>42063</v>
      </c>
      <c r="J13" s="146">
        <f t="shared" si="3"/>
        <v>42094</v>
      </c>
      <c r="K13" s="146">
        <f t="shared" si="3"/>
        <v>42124</v>
      </c>
      <c r="L13" s="146">
        <f t="shared" si="3"/>
        <v>42155</v>
      </c>
      <c r="M13" s="146">
        <f t="shared" si="3"/>
        <v>42185</v>
      </c>
    </row>
    <row r="14" spans="1:13">
      <c r="A14" s="94" t="s">
        <v>44</v>
      </c>
      <c r="B14" s="139">
        <f>'Financial Data Input'!D104</f>
        <v>0.87912087912087911</v>
      </c>
      <c r="C14" s="139">
        <f>'Financial Data Input'!E104</f>
        <v>1.09812734082397</v>
      </c>
      <c r="D14" s="139">
        <f>'Financial Data Input'!F104</f>
        <v>1.3622047244094488</v>
      </c>
      <c r="E14" s="139">
        <f>'Financial Data Input'!G104</f>
        <v>1.4049382716049383</v>
      </c>
      <c r="F14" s="139">
        <f>'Financial Data Input'!H104</f>
        <v>0.41611721611721614</v>
      </c>
      <c r="G14" s="139">
        <f>'Financial Data Input'!I104</f>
        <v>0</v>
      </c>
      <c r="H14" s="139">
        <f>'Financial Data Input'!J104</f>
        <v>0</v>
      </c>
      <c r="I14" s="139">
        <f>'Financial Data Input'!K104</f>
        <v>0</v>
      </c>
      <c r="J14" s="139">
        <f>'Financial Data Input'!L104</f>
        <v>0</v>
      </c>
      <c r="K14" s="139">
        <f>'Financial Data Input'!M104</f>
        <v>0</v>
      </c>
      <c r="L14" s="139">
        <f>'Financial Data Input'!N104</f>
        <v>0</v>
      </c>
      <c r="M14" s="139">
        <f>'Financial Data Input'!O104</f>
        <v>0</v>
      </c>
    </row>
    <row r="15" spans="1:13">
      <c r="A15" s="94"/>
      <c r="F15" s="145"/>
    </row>
    <row r="16" spans="1:13">
      <c r="A16" s="94" t="s">
        <v>70</v>
      </c>
      <c r="B16" s="150">
        <f>B4</f>
        <v>41851</v>
      </c>
      <c r="C16" s="150">
        <f t="shared" ref="C16:M16" si="4">C4</f>
        <v>41882</v>
      </c>
      <c r="D16" s="150">
        <f t="shared" si="4"/>
        <v>41912</v>
      </c>
      <c r="E16" s="150">
        <f t="shared" si="4"/>
        <v>41943</v>
      </c>
      <c r="F16" s="150">
        <f t="shared" si="4"/>
        <v>41973</v>
      </c>
      <c r="G16" s="150">
        <f t="shared" si="4"/>
        <v>42004</v>
      </c>
      <c r="H16" s="150">
        <f t="shared" si="4"/>
        <v>42035</v>
      </c>
      <c r="I16" s="150">
        <f t="shared" si="4"/>
        <v>42063</v>
      </c>
      <c r="J16" s="150">
        <f t="shared" si="4"/>
        <v>42094</v>
      </c>
      <c r="K16" s="150">
        <f t="shared" si="4"/>
        <v>42124</v>
      </c>
      <c r="L16" s="150">
        <f t="shared" si="4"/>
        <v>42155</v>
      </c>
      <c r="M16" s="150">
        <f t="shared" si="4"/>
        <v>42185</v>
      </c>
    </row>
    <row r="17" spans="1:13">
      <c r="A17" s="94" t="s">
        <v>5</v>
      </c>
      <c r="B17" s="147">
        <f>'Financial Data Input'!D22</f>
        <v>1175</v>
      </c>
      <c r="C17" s="147">
        <f>'Financial Data Input'!E22</f>
        <v>1295</v>
      </c>
      <c r="D17" s="147">
        <f>'Financial Data Input'!F22</f>
        <v>1725</v>
      </c>
      <c r="E17" s="147">
        <f>'Financial Data Input'!G22</f>
        <v>1349</v>
      </c>
      <c r="F17" s="147">
        <f>'Financial Data Input'!H22</f>
        <v>1810</v>
      </c>
      <c r="G17" s="147">
        <f>'Financial Data Input'!I22</f>
        <v>0</v>
      </c>
      <c r="H17" s="147">
        <f>'Financial Data Input'!J22</f>
        <v>0</v>
      </c>
      <c r="I17" s="147">
        <f>'Financial Data Input'!K22</f>
        <v>0</v>
      </c>
      <c r="J17" s="147">
        <f>'Financial Data Input'!L22</f>
        <v>0</v>
      </c>
      <c r="K17" s="147">
        <f>'Financial Data Input'!M22</f>
        <v>0</v>
      </c>
      <c r="L17" s="147">
        <f>'Financial Data Input'!N22</f>
        <v>0</v>
      </c>
      <c r="M17" s="147">
        <f>'Financial Data Input'!O22</f>
        <v>0</v>
      </c>
    </row>
    <row r="18" spans="1:13">
      <c r="A18" s="94"/>
      <c r="B18" s="147"/>
      <c r="C18" s="147"/>
      <c r="D18" s="147"/>
      <c r="E18" s="147"/>
      <c r="F18" s="147"/>
      <c r="G18" s="147"/>
      <c r="H18" s="147"/>
      <c r="I18" s="147"/>
      <c r="J18" s="147"/>
      <c r="K18" s="147"/>
      <c r="L18" s="147"/>
      <c r="M18" s="147"/>
    </row>
    <row r="19" spans="1:13">
      <c r="A19" s="94"/>
      <c r="B19" s="147"/>
      <c r="C19" s="147"/>
      <c r="D19" s="147"/>
      <c r="E19" s="147"/>
      <c r="F19" s="147"/>
      <c r="G19" s="147"/>
      <c r="H19" s="147"/>
      <c r="I19" s="147"/>
      <c r="J19" s="147"/>
      <c r="K19" s="147"/>
      <c r="L19" s="147"/>
      <c r="M19" s="147"/>
    </row>
    <row r="20" spans="1:13">
      <c r="A20" s="94" t="s">
        <v>207</v>
      </c>
      <c r="B20" s="147">
        <f>'Financial Data Input'!D50</f>
        <v>-134</v>
      </c>
      <c r="C20" s="147">
        <f>'Financial Data Input'!E50</f>
        <v>266</v>
      </c>
      <c r="D20" s="147">
        <f>'Financial Data Input'!F50</f>
        <v>91</v>
      </c>
      <c r="E20" s="147">
        <f>'Financial Data Input'!G50</f>
        <v>150</v>
      </c>
      <c r="F20" s="147">
        <f>'Financial Data Input'!H50</f>
        <v>-1089</v>
      </c>
      <c r="G20" s="147">
        <f>'Financial Data Input'!I50</f>
        <v>0</v>
      </c>
      <c r="H20" s="147">
        <f>'Financial Data Input'!J50</f>
        <v>0</v>
      </c>
      <c r="I20" s="147">
        <f>'Financial Data Input'!K50</f>
        <v>0</v>
      </c>
      <c r="J20" s="147">
        <f>'Financial Data Input'!L50</f>
        <v>0</v>
      </c>
      <c r="K20" s="147">
        <f>'Financial Data Input'!M50</f>
        <v>0</v>
      </c>
      <c r="L20" s="147">
        <f>'Financial Data Input'!N50</f>
        <v>0</v>
      </c>
      <c r="M20" s="147">
        <f>'Financial Data Input'!O50</f>
        <v>0</v>
      </c>
    </row>
    <row r="22" spans="1:13">
      <c r="A22" s="94" t="s">
        <v>51</v>
      </c>
      <c r="B22" s="150">
        <f t="shared" ref="B22:M22" si="5">B16</f>
        <v>41851</v>
      </c>
      <c r="C22" s="150">
        <f t="shared" si="5"/>
        <v>41882</v>
      </c>
      <c r="D22" s="150">
        <f t="shared" si="5"/>
        <v>41912</v>
      </c>
      <c r="E22" s="150">
        <f t="shared" si="5"/>
        <v>41943</v>
      </c>
      <c r="F22" s="150">
        <f t="shared" si="5"/>
        <v>41973</v>
      </c>
      <c r="G22" s="150">
        <f t="shared" si="5"/>
        <v>42004</v>
      </c>
      <c r="H22" s="150">
        <f t="shared" si="5"/>
        <v>42035</v>
      </c>
      <c r="I22" s="150">
        <f t="shared" si="5"/>
        <v>42063</v>
      </c>
      <c r="J22" s="150">
        <f t="shared" si="5"/>
        <v>42094</v>
      </c>
      <c r="K22" s="150">
        <f t="shared" si="5"/>
        <v>42124</v>
      </c>
      <c r="L22" s="150">
        <f t="shared" si="5"/>
        <v>42155</v>
      </c>
      <c r="M22" s="150">
        <f t="shared" si="5"/>
        <v>42185</v>
      </c>
    </row>
    <row r="23" spans="1:13">
      <c r="A23" s="94" t="s">
        <v>7</v>
      </c>
      <c r="B23" s="147">
        <f t="shared" ref="B23:M23" si="6">B17</f>
        <v>1175</v>
      </c>
      <c r="C23" s="147">
        <f t="shared" si="6"/>
        <v>1295</v>
      </c>
      <c r="D23" s="147">
        <f t="shared" si="6"/>
        <v>1725</v>
      </c>
      <c r="E23" s="147">
        <f t="shared" si="6"/>
        <v>1349</v>
      </c>
      <c r="F23" s="147">
        <f t="shared" si="6"/>
        <v>1810</v>
      </c>
      <c r="G23" s="147">
        <f t="shared" si="6"/>
        <v>0</v>
      </c>
      <c r="H23" s="147">
        <f t="shared" si="6"/>
        <v>0</v>
      </c>
      <c r="I23" s="147">
        <f t="shared" si="6"/>
        <v>0</v>
      </c>
      <c r="J23" s="147">
        <f t="shared" si="6"/>
        <v>0</v>
      </c>
      <c r="K23" s="147">
        <f t="shared" si="6"/>
        <v>0</v>
      </c>
      <c r="L23" s="147">
        <f t="shared" si="6"/>
        <v>0</v>
      </c>
      <c r="M23" s="147">
        <f t="shared" si="6"/>
        <v>0</v>
      </c>
    </row>
    <row r="24" spans="1:13">
      <c r="A24" s="94" t="s">
        <v>8</v>
      </c>
      <c r="B24" s="147">
        <f>'Financial Data Input'!D145</f>
        <v>1527</v>
      </c>
      <c r="C24" s="147">
        <f>'Financial Data Input'!E145</f>
        <v>1650</v>
      </c>
      <c r="D24" s="147">
        <f>'Financial Data Input'!F145</f>
        <v>1476</v>
      </c>
      <c r="E24" s="147">
        <f>'Financial Data Input'!G145</f>
        <v>1500</v>
      </c>
      <c r="F24" s="147">
        <f>'Financial Data Input'!H145</f>
        <v>1500</v>
      </c>
      <c r="G24" s="147">
        <f>'Financial Data Input'!I145</f>
        <v>1700</v>
      </c>
      <c r="H24" s="147">
        <f>'Financial Data Input'!J145</f>
        <v>1550</v>
      </c>
      <c r="I24" s="147">
        <f>'Financial Data Input'!K145</f>
        <v>1500</v>
      </c>
      <c r="J24" s="147">
        <f>'Financial Data Input'!L145</f>
        <v>1500</v>
      </c>
      <c r="K24" s="147">
        <f>'Financial Data Input'!M145</f>
        <v>1500</v>
      </c>
      <c r="L24" s="147">
        <f>'Financial Data Input'!N145</f>
        <v>1500</v>
      </c>
      <c r="M24" s="147">
        <f>'Financial Data Input'!O145</f>
        <v>1500</v>
      </c>
    </row>
    <row r="25" spans="1:13">
      <c r="A25" s="94"/>
    </row>
    <row r="27" spans="1:13">
      <c r="A27" s="94" t="s">
        <v>75</v>
      </c>
      <c r="B27" s="150">
        <f>B22</f>
        <v>41851</v>
      </c>
      <c r="C27" s="150">
        <f t="shared" ref="C27:M27" si="7">C22</f>
        <v>41882</v>
      </c>
      <c r="D27" s="150">
        <f t="shared" si="7"/>
        <v>41912</v>
      </c>
      <c r="E27" s="150">
        <f t="shared" si="7"/>
        <v>41943</v>
      </c>
      <c r="F27" s="150">
        <f t="shared" si="7"/>
        <v>41973</v>
      </c>
      <c r="G27" s="150">
        <f t="shared" si="7"/>
        <v>42004</v>
      </c>
      <c r="H27" s="150">
        <f t="shared" si="7"/>
        <v>42035</v>
      </c>
      <c r="I27" s="150">
        <f t="shared" si="7"/>
        <v>42063</v>
      </c>
      <c r="J27" s="150">
        <f t="shared" si="7"/>
        <v>42094</v>
      </c>
      <c r="K27" s="150">
        <f t="shared" si="7"/>
        <v>42124</v>
      </c>
      <c r="L27" s="150">
        <f t="shared" si="7"/>
        <v>42155</v>
      </c>
      <c r="M27" s="150">
        <f t="shared" si="7"/>
        <v>42185</v>
      </c>
    </row>
    <row r="28" spans="1:13">
      <c r="A28" s="94" t="s">
        <v>7</v>
      </c>
      <c r="B28" s="147">
        <f>'Financial Data Input'!D10</f>
        <v>150</v>
      </c>
      <c r="C28" s="147">
        <f>'Financial Data Input'!E10</f>
        <v>75</v>
      </c>
      <c r="D28" s="147">
        <f>'Financial Data Input'!F10</f>
        <v>60</v>
      </c>
      <c r="E28" s="147">
        <f>'Financial Data Input'!G10</f>
        <v>110</v>
      </c>
      <c r="F28" s="147">
        <f>'Financial Data Input'!H10</f>
        <v>100</v>
      </c>
      <c r="G28" s="147">
        <f>'Financial Data Input'!I10</f>
        <v>0</v>
      </c>
      <c r="H28" s="147">
        <f>'Financial Data Input'!J10</f>
        <v>0</v>
      </c>
      <c r="I28" s="147">
        <f>'Financial Data Input'!K10</f>
        <v>0</v>
      </c>
      <c r="J28" s="147">
        <f>'Financial Data Input'!L10</f>
        <v>0</v>
      </c>
      <c r="K28" s="147">
        <f>'Financial Data Input'!M10</f>
        <v>0</v>
      </c>
      <c r="L28" s="147">
        <f>'Financial Data Input'!N10</f>
        <v>0</v>
      </c>
      <c r="M28" s="147">
        <f>'Financial Data Input'!O10</f>
        <v>0</v>
      </c>
    </row>
    <row r="29" spans="1:13">
      <c r="A29" s="94" t="s">
        <v>8</v>
      </c>
      <c r="B29" s="147">
        <f>'Financial Data Input'!D132</f>
        <v>100</v>
      </c>
      <c r="C29" s="147">
        <f>'Financial Data Input'!E132</f>
        <v>100</v>
      </c>
      <c r="D29" s="147">
        <f>'Financial Data Input'!F132</f>
        <v>100</v>
      </c>
      <c r="E29" s="147">
        <f>'Financial Data Input'!G132</f>
        <v>100</v>
      </c>
      <c r="F29" s="147">
        <f>'Financial Data Input'!H132</f>
        <v>100</v>
      </c>
      <c r="G29" s="147">
        <f>'Financial Data Input'!I132</f>
        <v>100</v>
      </c>
      <c r="H29" s="147">
        <f>'Financial Data Input'!J132</f>
        <v>100</v>
      </c>
      <c r="I29" s="147">
        <f>'Financial Data Input'!K132</f>
        <v>100</v>
      </c>
      <c r="J29" s="147">
        <f>'Financial Data Input'!L132</f>
        <v>100</v>
      </c>
      <c r="K29" s="147">
        <f>'Financial Data Input'!M132</f>
        <v>100</v>
      </c>
      <c r="L29" s="147">
        <f>'Financial Data Input'!N132</f>
        <v>100</v>
      </c>
      <c r="M29" s="147">
        <f>'Financial Data Input'!O132</f>
        <v>100</v>
      </c>
    </row>
    <row r="32" spans="1:13">
      <c r="A32" s="94" t="s">
        <v>139</v>
      </c>
      <c r="B32" s="150">
        <f>B27</f>
        <v>41851</v>
      </c>
      <c r="C32" s="150">
        <f t="shared" ref="C32:M32" si="8">C27</f>
        <v>41882</v>
      </c>
      <c r="D32" s="150">
        <f t="shared" si="8"/>
        <v>41912</v>
      </c>
      <c r="E32" s="150">
        <f t="shared" si="8"/>
        <v>41943</v>
      </c>
      <c r="F32" s="150">
        <f t="shared" si="8"/>
        <v>41973</v>
      </c>
      <c r="G32" s="150">
        <f t="shared" si="8"/>
        <v>42004</v>
      </c>
      <c r="H32" s="150">
        <f t="shared" si="8"/>
        <v>42035</v>
      </c>
      <c r="I32" s="150">
        <f t="shared" si="8"/>
        <v>42063</v>
      </c>
      <c r="J32" s="150">
        <f t="shared" si="8"/>
        <v>42094</v>
      </c>
      <c r="K32" s="150">
        <f t="shared" si="8"/>
        <v>42124</v>
      </c>
      <c r="L32" s="150">
        <f t="shared" si="8"/>
        <v>42155</v>
      </c>
      <c r="M32" s="150">
        <f t="shared" si="8"/>
        <v>42185</v>
      </c>
    </row>
    <row r="33" spans="1:13">
      <c r="A33" s="94" t="s">
        <v>7</v>
      </c>
      <c r="B33" s="147">
        <f>'Financial Data Input'!D11+'Financial Data Input'!D12</f>
        <v>650</v>
      </c>
      <c r="C33" s="147">
        <f>'Financial Data Input'!E11+'Financial Data Input'!E12</f>
        <v>875</v>
      </c>
      <c r="D33" s="147">
        <f>'Financial Data Input'!F11+'Financial Data Input'!F12</f>
        <v>1260</v>
      </c>
      <c r="E33" s="147">
        <f>'Financial Data Input'!G11+'Financial Data Input'!G12</f>
        <v>860</v>
      </c>
      <c r="F33" s="147">
        <f>'Financial Data Input'!H11+'Financial Data Input'!H12</f>
        <v>1200</v>
      </c>
      <c r="G33" s="147">
        <f>'Financial Data Input'!I11+'Financial Data Input'!I12</f>
        <v>0</v>
      </c>
      <c r="H33" s="147">
        <f>'Financial Data Input'!J11+'Financial Data Input'!J12</f>
        <v>0</v>
      </c>
      <c r="I33" s="147">
        <f>'Financial Data Input'!K11+'Financial Data Input'!K12</f>
        <v>0</v>
      </c>
      <c r="J33" s="147">
        <f>'Financial Data Input'!L11+'Financial Data Input'!L12</f>
        <v>0</v>
      </c>
      <c r="K33" s="147">
        <f>'Financial Data Input'!M11+'Financial Data Input'!M12</f>
        <v>0</v>
      </c>
      <c r="L33" s="147">
        <f>'Financial Data Input'!N11+'Financial Data Input'!N12</f>
        <v>0</v>
      </c>
      <c r="M33" s="147">
        <f>'Financial Data Input'!O11+'Financial Data Input'!O12</f>
        <v>0</v>
      </c>
    </row>
    <row r="34" spans="1:13">
      <c r="A34" s="94" t="s">
        <v>8</v>
      </c>
      <c r="B34" s="147">
        <f>'Financial Data Input'!D133+'Financial Data Input'!D134</f>
        <v>927</v>
      </c>
      <c r="C34" s="147">
        <f>'Financial Data Input'!E133+'Financial Data Input'!E134</f>
        <v>1050</v>
      </c>
      <c r="D34" s="147">
        <f>'Financial Data Input'!F133+'Financial Data Input'!F134</f>
        <v>876</v>
      </c>
      <c r="E34" s="147">
        <f>'Financial Data Input'!G133+'Financial Data Input'!G134</f>
        <v>900</v>
      </c>
      <c r="F34" s="147">
        <f>'Financial Data Input'!H133+'Financial Data Input'!H134</f>
        <v>900</v>
      </c>
      <c r="G34" s="147">
        <f>'Financial Data Input'!I133+'Financial Data Input'!I134</f>
        <v>1100</v>
      </c>
      <c r="H34" s="147">
        <f>'Financial Data Input'!J133+'Financial Data Input'!J134</f>
        <v>950</v>
      </c>
      <c r="I34" s="147">
        <f>'Financial Data Input'!K133+'Financial Data Input'!K134</f>
        <v>900</v>
      </c>
      <c r="J34" s="147">
        <f>'Financial Data Input'!L133+'Financial Data Input'!L134</f>
        <v>900</v>
      </c>
      <c r="K34" s="147">
        <f>'Financial Data Input'!M133+'Financial Data Input'!M134</f>
        <v>900</v>
      </c>
      <c r="L34" s="147">
        <f>'Financial Data Input'!N133+'Financial Data Input'!N134</f>
        <v>900</v>
      </c>
      <c r="M34" s="147">
        <f>'Financial Data Input'!O133+'Financial Data Input'!O134</f>
        <v>900</v>
      </c>
    </row>
    <row r="37" spans="1:13">
      <c r="A37" s="94" t="s">
        <v>210</v>
      </c>
      <c r="B37" s="150">
        <f t="shared" ref="B37:M37" si="9">B27</f>
        <v>41851</v>
      </c>
      <c r="C37" s="150">
        <f t="shared" si="9"/>
        <v>41882</v>
      </c>
      <c r="D37" s="150">
        <f t="shared" si="9"/>
        <v>41912</v>
      </c>
      <c r="E37" s="150">
        <f t="shared" si="9"/>
        <v>41943</v>
      </c>
      <c r="F37" s="150">
        <f t="shared" si="9"/>
        <v>41973</v>
      </c>
      <c r="G37" s="150">
        <f t="shared" si="9"/>
        <v>42004</v>
      </c>
      <c r="H37" s="150">
        <f t="shared" si="9"/>
        <v>42035</v>
      </c>
      <c r="I37" s="150">
        <f t="shared" si="9"/>
        <v>42063</v>
      </c>
      <c r="J37" s="150">
        <f t="shared" si="9"/>
        <v>42094</v>
      </c>
      <c r="K37" s="150">
        <f t="shared" si="9"/>
        <v>42124</v>
      </c>
      <c r="L37" s="150">
        <f t="shared" si="9"/>
        <v>42155</v>
      </c>
      <c r="M37" s="150">
        <f t="shared" si="9"/>
        <v>42185</v>
      </c>
    </row>
    <row r="38" spans="1:13">
      <c r="A38" s="94" t="s">
        <v>7</v>
      </c>
      <c r="B38" s="147">
        <f>'Financial Data Input'!D50</f>
        <v>-134</v>
      </c>
      <c r="C38" s="147">
        <f>'Financial Data Input'!E50</f>
        <v>266</v>
      </c>
      <c r="D38" s="147">
        <f>'Financial Data Input'!F50</f>
        <v>91</v>
      </c>
      <c r="E38" s="147">
        <f>'Financial Data Input'!G50</f>
        <v>150</v>
      </c>
      <c r="F38" s="147">
        <f>'Financial Data Input'!H50</f>
        <v>-1089</v>
      </c>
      <c r="G38" s="147">
        <f>'Financial Data Input'!I50</f>
        <v>0</v>
      </c>
      <c r="H38" s="147">
        <f>'Financial Data Input'!J50</f>
        <v>0</v>
      </c>
      <c r="I38" s="147">
        <f>'Financial Data Input'!K50</f>
        <v>0</v>
      </c>
      <c r="J38" s="147">
        <f>'Financial Data Input'!L50</f>
        <v>0</v>
      </c>
      <c r="K38" s="147">
        <f>'Financial Data Input'!M50</f>
        <v>0</v>
      </c>
      <c r="L38" s="147">
        <f>'Financial Data Input'!N50</f>
        <v>0</v>
      </c>
      <c r="M38" s="147">
        <f>'Financial Data Input'!O50</f>
        <v>0</v>
      </c>
    </row>
    <row r="39" spans="1:13">
      <c r="A39" s="94" t="s">
        <v>8</v>
      </c>
      <c r="B39" s="147">
        <f>'Financial Data Input'!D173</f>
        <v>212</v>
      </c>
      <c r="C39" s="147">
        <f>'Financial Data Input'!E173</f>
        <v>335</v>
      </c>
      <c r="D39" s="147">
        <f>'Financial Data Input'!F173</f>
        <v>161</v>
      </c>
      <c r="E39" s="147">
        <f>'Financial Data Input'!G173</f>
        <v>185</v>
      </c>
      <c r="F39" s="147">
        <f>'Financial Data Input'!H173</f>
        <v>185</v>
      </c>
      <c r="G39" s="147">
        <f>'Financial Data Input'!I173</f>
        <v>385</v>
      </c>
      <c r="H39" s="147">
        <f>'Financial Data Input'!J173</f>
        <v>235</v>
      </c>
      <c r="I39" s="147">
        <f>'Financial Data Input'!K173</f>
        <v>185</v>
      </c>
      <c r="J39" s="147">
        <f>'Financial Data Input'!L173</f>
        <v>185</v>
      </c>
      <c r="K39" s="147">
        <f>'Financial Data Input'!M173</f>
        <v>185</v>
      </c>
      <c r="L39" s="147">
        <f>'Financial Data Input'!N173</f>
        <v>185</v>
      </c>
      <c r="M39" s="147">
        <f>'Financial Data Input'!O173</f>
        <v>185</v>
      </c>
    </row>
    <row r="42" spans="1:13">
      <c r="A42" s="94" t="s">
        <v>76</v>
      </c>
      <c r="B42" s="150">
        <f>B37</f>
        <v>41851</v>
      </c>
      <c r="C42" s="150">
        <f t="shared" ref="C42:M42" si="10">C37</f>
        <v>41882</v>
      </c>
      <c r="D42" s="150">
        <f t="shared" si="10"/>
        <v>41912</v>
      </c>
      <c r="E42" s="150">
        <f t="shared" si="10"/>
        <v>41943</v>
      </c>
      <c r="F42" s="150">
        <f t="shared" si="10"/>
        <v>41973</v>
      </c>
      <c r="G42" s="150">
        <f t="shared" si="10"/>
        <v>42004</v>
      </c>
      <c r="H42" s="150">
        <f t="shared" si="10"/>
        <v>42035</v>
      </c>
      <c r="I42" s="150">
        <f t="shared" si="10"/>
        <v>42063</v>
      </c>
      <c r="J42" s="150">
        <f t="shared" si="10"/>
        <v>42094</v>
      </c>
      <c r="K42" s="150">
        <f t="shared" si="10"/>
        <v>42124</v>
      </c>
      <c r="L42" s="150">
        <f t="shared" si="10"/>
        <v>42155</v>
      </c>
      <c r="M42" s="150">
        <f t="shared" si="10"/>
        <v>42185</v>
      </c>
    </row>
    <row r="43" spans="1:13">
      <c r="A43" s="94" t="s">
        <v>7</v>
      </c>
      <c r="B43" s="147">
        <f>'Financial Data Input'!D48</f>
        <v>1309</v>
      </c>
      <c r="C43" s="147">
        <f>'Financial Data Input'!E48</f>
        <v>1029</v>
      </c>
      <c r="D43" s="147">
        <f>'Financial Data Input'!F48</f>
        <v>1634</v>
      </c>
      <c r="E43" s="147">
        <f>'Financial Data Input'!G48</f>
        <v>1199</v>
      </c>
      <c r="F43" s="147">
        <f>'Financial Data Input'!H48</f>
        <v>2899</v>
      </c>
      <c r="G43" s="147">
        <f>'Financial Data Input'!I48</f>
        <v>0</v>
      </c>
      <c r="H43" s="147">
        <f>'Financial Data Input'!J48</f>
        <v>0</v>
      </c>
      <c r="I43" s="147">
        <f>'Financial Data Input'!K48</f>
        <v>0</v>
      </c>
      <c r="J43" s="147">
        <f>'Financial Data Input'!L48</f>
        <v>0</v>
      </c>
      <c r="K43" s="147">
        <f>'Financial Data Input'!M48</f>
        <v>0</v>
      </c>
      <c r="L43" s="147">
        <f>'Financial Data Input'!N48</f>
        <v>0</v>
      </c>
      <c r="M43" s="147">
        <f>'Financial Data Input'!O48</f>
        <v>0</v>
      </c>
    </row>
    <row r="44" spans="1:13">
      <c r="A44" s="94" t="s">
        <v>8</v>
      </c>
      <c r="B44" s="147">
        <f>'Financial Data Input'!D171</f>
        <v>1315</v>
      </c>
      <c r="C44" s="147">
        <f>'Financial Data Input'!E171</f>
        <v>1315</v>
      </c>
      <c r="D44" s="147">
        <f>'Financial Data Input'!F171</f>
        <v>1315</v>
      </c>
      <c r="E44" s="147">
        <f>'Financial Data Input'!G171</f>
        <v>1315</v>
      </c>
      <c r="F44" s="147">
        <f>'Financial Data Input'!H171</f>
        <v>1315</v>
      </c>
      <c r="G44" s="147">
        <f>'Financial Data Input'!I171</f>
        <v>1315</v>
      </c>
      <c r="H44" s="147">
        <f>'Financial Data Input'!J171</f>
        <v>1315</v>
      </c>
      <c r="I44" s="147">
        <f>'Financial Data Input'!K171</f>
        <v>1315</v>
      </c>
      <c r="J44" s="147">
        <f>'Financial Data Input'!L171</f>
        <v>1315</v>
      </c>
      <c r="K44" s="147">
        <f>'Financial Data Input'!M171</f>
        <v>1315</v>
      </c>
      <c r="L44" s="147">
        <f>'Financial Data Input'!N171</f>
        <v>1315</v>
      </c>
      <c r="M44" s="147">
        <f>'Financial Data Input'!O171</f>
        <v>1315</v>
      </c>
    </row>
    <row r="46" spans="1:13">
      <c r="B46" s="150">
        <f>B42</f>
        <v>41851</v>
      </c>
      <c r="C46" s="150">
        <f t="shared" ref="C46:M46" si="11">C42</f>
        <v>41882</v>
      </c>
      <c r="D46" s="150">
        <f t="shared" si="11"/>
        <v>41912</v>
      </c>
      <c r="E46" s="150">
        <f t="shared" si="11"/>
        <v>41943</v>
      </c>
      <c r="F46" s="150">
        <f t="shared" si="11"/>
        <v>41973</v>
      </c>
      <c r="G46" s="150">
        <f t="shared" si="11"/>
        <v>42004</v>
      </c>
      <c r="H46" s="150">
        <f t="shared" si="11"/>
        <v>42035</v>
      </c>
      <c r="I46" s="150">
        <f t="shared" si="11"/>
        <v>42063</v>
      </c>
      <c r="J46" s="150">
        <f t="shared" si="11"/>
        <v>42094</v>
      </c>
      <c r="K46" s="150">
        <f t="shared" si="11"/>
        <v>42124</v>
      </c>
      <c r="L46" s="150">
        <f t="shared" si="11"/>
        <v>42155</v>
      </c>
      <c r="M46" s="150">
        <f t="shared" si="11"/>
        <v>42185</v>
      </c>
    </row>
    <row r="47" spans="1:13">
      <c r="A47" s="94" t="s">
        <v>23</v>
      </c>
      <c r="B47" s="147">
        <f>IF('Financial Data Input'!D55&lt;&gt;0,'Financial Data Input'!D55,"")</f>
        <v>1130</v>
      </c>
      <c r="C47" s="147">
        <f>IF('Financial Data Input'!E55&lt;&gt;0,'Financial Data Input'!E55,"")</f>
        <v>1160</v>
      </c>
      <c r="D47" s="147">
        <f>IF('Financial Data Input'!F55&lt;&gt;0,'Financial Data Input'!F55,"")</f>
        <v>1010</v>
      </c>
      <c r="E47" s="147">
        <f>IF('Financial Data Input'!G55&lt;&gt;0,'Financial Data Input'!G55,"")</f>
        <v>1180</v>
      </c>
      <c r="F47" s="147">
        <f>IF('Financial Data Input'!H55&lt;&gt;0,'Financial Data Input'!H55,"")</f>
        <v>1120</v>
      </c>
      <c r="G47" s="147" t="str">
        <f>IF('Financial Data Input'!I55&lt;&gt;0,'Financial Data Input'!I55,"")</f>
        <v/>
      </c>
      <c r="H47" s="197" t="s">
        <v>87</v>
      </c>
      <c r="I47" s="147" t="str">
        <f>IF('Financial Data Input'!K55&lt;&gt;0,'Financial Data Input'!K55,"")</f>
        <v/>
      </c>
      <c r="J47" s="147" t="str">
        <f>IF('Financial Data Input'!L55&lt;&gt;0,'Financial Data Input'!L55,"")</f>
        <v/>
      </c>
      <c r="K47" s="147" t="str">
        <f>IF('Financial Data Input'!M55&lt;&gt;0,'Financial Data Input'!M55,"")</f>
        <v/>
      </c>
      <c r="L47" s="147" t="str">
        <f>IF('Financial Data Input'!N55&lt;&gt;0,'Financial Data Input'!N55,"")</f>
        <v/>
      </c>
      <c r="M47" s="147" t="str">
        <f>IF('Financial Data Input'!O55&lt;&gt;0,'Financial Data Input'!O55,"")</f>
        <v/>
      </c>
    </row>
    <row r="52" spans="1:13">
      <c r="A52" s="94" t="s">
        <v>200</v>
      </c>
      <c r="B52" s="165">
        <f>'Financial Report '!$Q$51</f>
        <v>2208</v>
      </c>
    </row>
    <row r="53" spans="1:13">
      <c r="A53" s="94" t="s">
        <v>201</v>
      </c>
      <c r="B53" s="165">
        <f>'Financial Data Input'!Q173</f>
        <v>2623</v>
      </c>
    </row>
    <row r="54" spans="1:13">
      <c r="A54" s="94" t="s">
        <v>202</v>
      </c>
      <c r="B54" s="165">
        <f>O108</f>
        <v>124</v>
      </c>
    </row>
    <row r="56" spans="1:13">
      <c r="A56" s="94" t="s">
        <v>154</v>
      </c>
      <c r="B56" s="147">
        <f>'Financial Report '!K10+'Financial Report '!K12</f>
        <v>450</v>
      </c>
    </row>
    <row r="57" spans="1:13">
      <c r="A57" s="94" t="s">
        <v>155</v>
      </c>
      <c r="B57" s="147">
        <f>'Financial Data Input'!Q132+'Financial Data Input'!Q134</f>
        <v>2400</v>
      </c>
    </row>
    <row r="58" spans="1:13">
      <c r="A58" s="94" t="s">
        <v>223</v>
      </c>
      <c r="B58" s="147">
        <f>B56+'Financial Report '!G118</f>
        <v>1610</v>
      </c>
    </row>
    <row r="59" spans="1:13">
      <c r="A59" s="94" t="s">
        <v>56</v>
      </c>
      <c r="B59" s="159">
        <f>B56/B57</f>
        <v>0.1875</v>
      </c>
      <c r="C59" s="159"/>
      <c r="D59" s="159"/>
      <c r="E59" s="159"/>
      <c r="F59" s="159"/>
      <c r="G59" s="159"/>
      <c r="H59" s="159"/>
      <c r="I59" s="159"/>
      <c r="J59" s="159"/>
      <c r="K59" s="159"/>
      <c r="L59" s="159"/>
      <c r="M59" s="159"/>
    </row>
    <row r="61" spans="1:13">
      <c r="B61" s="120" t="s">
        <v>7</v>
      </c>
      <c r="C61" s="120" t="s">
        <v>8</v>
      </c>
    </row>
    <row r="62" spans="1:13">
      <c r="A62" s="94" t="s">
        <v>5</v>
      </c>
      <c r="B62" s="147">
        <f>'Financial Report '!K23</f>
        <v>2470</v>
      </c>
      <c r="C62" s="147">
        <f>'Financial Report '!L23</f>
        <v>3177</v>
      </c>
    </row>
    <row r="63" spans="1:13">
      <c r="A63" s="94" t="s">
        <v>101</v>
      </c>
      <c r="B63" s="147">
        <f>'Financial Report '!K49</f>
        <v>2338</v>
      </c>
      <c r="C63" s="147">
        <f>'Financial Report '!L49</f>
        <v>2630</v>
      </c>
    </row>
    <row r="64" spans="1:13">
      <c r="A64" s="94" t="s">
        <v>207</v>
      </c>
      <c r="B64" s="147">
        <f>'Financial Report '!K51</f>
        <v>132</v>
      </c>
      <c r="C64" s="147">
        <f>'Financial Report '!L51</f>
        <v>547</v>
      </c>
    </row>
    <row r="67" spans="1:13">
      <c r="A67" s="94" t="s">
        <v>109</v>
      </c>
      <c r="B67" s="146">
        <f>B16</f>
        <v>41851</v>
      </c>
      <c r="C67" s="146">
        <f t="shared" ref="C67:M67" si="12">C16</f>
        <v>41882</v>
      </c>
      <c r="D67" s="146">
        <f t="shared" si="12"/>
        <v>41912</v>
      </c>
      <c r="E67" s="146">
        <f t="shared" si="12"/>
        <v>41943</v>
      </c>
      <c r="F67" s="146">
        <f t="shared" si="12"/>
        <v>41973</v>
      </c>
      <c r="G67" s="146">
        <f t="shared" si="12"/>
        <v>42004</v>
      </c>
      <c r="H67" s="146">
        <f t="shared" si="12"/>
        <v>42035</v>
      </c>
      <c r="I67" s="146">
        <f t="shared" si="12"/>
        <v>42063</v>
      </c>
      <c r="J67" s="146">
        <f t="shared" si="12"/>
        <v>42094</v>
      </c>
      <c r="K67" s="146">
        <f t="shared" si="12"/>
        <v>42124</v>
      </c>
      <c r="L67" s="146">
        <f t="shared" si="12"/>
        <v>42155</v>
      </c>
      <c r="M67" s="146">
        <f t="shared" si="12"/>
        <v>42185</v>
      </c>
    </row>
    <row r="68" spans="1:13">
      <c r="A68" s="94" t="str">
        <f>'Financial Data Input'!A107</f>
        <v>Current</v>
      </c>
      <c r="B68" s="159">
        <f>'Financial Data Input'!D107/'Financial Data Input'!D$111</f>
        <v>0.75</v>
      </c>
      <c r="C68" s="159">
        <f>'Financial Data Input'!E107/'Financial Data Input'!E$111</f>
        <v>0.72</v>
      </c>
      <c r="D68" s="159">
        <f>'Financial Data Input'!F107/'Financial Data Input'!F$111</f>
        <v>0.81818181818181823</v>
      </c>
      <c r="E68" s="159">
        <f>'Financial Data Input'!G107/'Financial Data Input'!G$111</f>
        <v>0.92307692307692313</v>
      </c>
      <c r="F68" s="159">
        <f>'Financial Data Input'!H107/'Financial Data Input'!H$111</f>
        <v>0.8571428571428571</v>
      </c>
      <c r="G68" s="159" t="e">
        <f>'Financial Data Input'!I107/'Financial Data Input'!I$111</f>
        <v>#DIV/0!</v>
      </c>
      <c r="H68" s="159" t="e">
        <f>'Financial Data Input'!J107/'Financial Data Input'!J$111</f>
        <v>#DIV/0!</v>
      </c>
      <c r="I68" s="159" t="e">
        <f>'Financial Data Input'!K107/'Financial Data Input'!K$111</f>
        <v>#DIV/0!</v>
      </c>
      <c r="J68" s="159" t="e">
        <f>'Financial Data Input'!L107/'Financial Data Input'!L$111</f>
        <v>#DIV/0!</v>
      </c>
      <c r="K68" s="159" t="e">
        <f>'Financial Data Input'!M107/'Financial Data Input'!M$111</f>
        <v>#DIV/0!</v>
      </c>
      <c r="L68" s="159" t="e">
        <f>'Financial Data Input'!N107/'Financial Data Input'!N$111</f>
        <v>#DIV/0!</v>
      </c>
      <c r="M68" s="159" t="e">
        <f>'Financial Data Input'!O107/'Financial Data Input'!O$111</f>
        <v>#DIV/0!</v>
      </c>
    </row>
    <row r="69" spans="1:13">
      <c r="A69" s="94" t="str">
        <f>'Financial Data Input'!A108</f>
        <v>One month overdue</v>
      </c>
      <c r="B69" s="159">
        <f>'Financial Data Input'!D108/'Financial Data Input'!D$111</f>
        <v>8.3333333333333329E-2</v>
      </c>
      <c r="C69" s="159">
        <f>'Financial Data Input'!E108/'Financial Data Input'!E$111</f>
        <v>0.08</v>
      </c>
      <c r="D69" s="159">
        <f>'Financial Data Input'!F108/'Financial Data Input'!F$111</f>
        <v>9.0909090909090912E-2</v>
      </c>
      <c r="E69" s="159">
        <f>'Financial Data Input'!G108/'Financial Data Input'!G$111</f>
        <v>7.6923076923076927E-2</v>
      </c>
      <c r="F69" s="159">
        <f>'Financial Data Input'!H108/'Financial Data Input'!H$111</f>
        <v>7.1428571428571425E-2</v>
      </c>
      <c r="G69" s="159" t="e">
        <f>'Financial Data Input'!I108/'Financial Data Input'!I$111</f>
        <v>#DIV/0!</v>
      </c>
      <c r="H69" s="159" t="e">
        <f>'Financial Data Input'!J108/'Financial Data Input'!J$111</f>
        <v>#DIV/0!</v>
      </c>
      <c r="I69" s="159" t="e">
        <f>'Financial Data Input'!K108/'Financial Data Input'!K$111</f>
        <v>#DIV/0!</v>
      </c>
      <c r="J69" s="159" t="e">
        <f>'Financial Data Input'!L108/'Financial Data Input'!L$111</f>
        <v>#DIV/0!</v>
      </c>
      <c r="K69" s="159" t="e">
        <f>'Financial Data Input'!M108/'Financial Data Input'!M$111</f>
        <v>#DIV/0!</v>
      </c>
      <c r="L69" s="159" t="e">
        <f>'Financial Data Input'!N108/'Financial Data Input'!N$111</f>
        <v>#DIV/0!</v>
      </c>
      <c r="M69" s="159" t="e">
        <f>'Financial Data Input'!O108/'Financial Data Input'!O$111</f>
        <v>#DIV/0!</v>
      </c>
    </row>
    <row r="70" spans="1:13">
      <c r="A70" s="94" t="str">
        <f>'Financial Data Input'!A109</f>
        <v>Two months overdue</v>
      </c>
      <c r="B70" s="159">
        <f>'Financial Data Input'!D109/'Financial Data Input'!D$111</f>
        <v>8.3333333333333329E-2</v>
      </c>
      <c r="C70" s="159">
        <f>'Financial Data Input'!E109/'Financial Data Input'!E$111</f>
        <v>0.08</v>
      </c>
      <c r="D70" s="159">
        <f>'Financial Data Input'!F109/'Financial Data Input'!F$111</f>
        <v>9.0909090909090912E-2</v>
      </c>
      <c r="E70" s="159">
        <f>'Financial Data Input'!G109/'Financial Data Input'!G$111</f>
        <v>0</v>
      </c>
      <c r="F70" s="159">
        <f>'Financial Data Input'!H109/'Financial Data Input'!H$111</f>
        <v>3.5714285714285712E-2</v>
      </c>
      <c r="G70" s="159" t="e">
        <f>'Financial Data Input'!I109/'Financial Data Input'!I$111</f>
        <v>#DIV/0!</v>
      </c>
      <c r="H70" s="159" t="e">
        <f>'Financial Data Input'!J109/'Financial Data Input'!J$111</f>
        <v>#DIV/0!</v>
      </c>
      <c r="I70" s="159" t="e">
        <f>'Financial Data Input'!K109/'Financial Data Input'!K$111</f>
        <v>#DIV/0!</v>
      </c>
      <c r="J70" s="159" t="e">
        <f>'Financial Data Input'!L109/'Financial Data Input'!L$111</f>
        <v>#DIV/0!</v>
      </c>
      <c r="K70" s="159" t="e">
        <f>'Financial Data Input'!M109/'Financial Data Input'!M$111</f>
        <v>#DIV/0!</v>
      </c>
      <c r="L70" s="159" t="e">
        <f>'Financial Data Input'!N109/'Financial Data Input'!N$111</f>
        <v>#DIV/0!</v>
      </c>
      <c r="M70" s="159" t="e">
        <f>'Financial Data Input'!O109/'Financial Data Input'!O$111</f>
        <v>#DIV/0!</v>
      </c>
    </row>
    <row r="71" spans="1:13">
      <c r="A71" s="94" t="str">
        <f>'Financial Data Input'!A110</f>
        <v>Three months or more overdue</v>
      </c>
      <c r="B71" s="159">
        <f>'Financial Data Input'!D110/'Financial Data Input'!D$111</f>
        <v>8.3333333333333329E-2</v>
      </c>
      <c r="C71" s="159">
        <f>'Financial Data Input'!E110/'Financial Data Input'!E$111</f>
        <v>0.12</v>
      </c>
      <c r="D71" s="159">
        <f>'Financial Data Input'!F110/'Financial Data Input'!F$111</f>
        <v>0</v>
      </c>
      <c r="E71" s="159">
        <f>'Financial Data Input'!G110/'Financial Data Input'!G$111</f>
        <v>0</v>
      </c>
      <c r="F71" s="159">
        <f>'Financial Data Input'!H110/'Financial Data Input'!H$111</f>
        <v>3.5714285714285712E-2</v>
      </c>
      <c r="G71" s="159" t="e">
        <f>'Financial Data Input'!I110/'Financial Data Input'!I$111</f>
        <v>#DIV/0!</v>
      </c>
      <c r="H71" s="159" t="e">
        <f>'Financial Data Input'!J110/'Financial Data Input'!J$111</f>
        <v>#DIV/0!</v>
      </c>
      <c r="I71" s="159" t="e">
        <f>'Financial Data Input'!K110/'Financial Data Input'!K$111</f>
        <v>#DIV/0!</v>
      </c>
      <c r="J71" s="159" t="e">
        <f>'Financial Data Input'!L110/'Financial Data Input'!L$111</f>
        <v>#DIV/0!</v>
      </c>
      <c r="K71" s="159" t="e">
        <f>'Financial Data Input'!M110/'Financial Data Input'!M$111</f>
        <v>#DIV/0!</v>
      </c>
      <c r="L71" s="159" t="e">
        <f>'Financial Data Input'!N110/'Financial Data Input'!N$111</f>
        <v>#DIV/0!</v>
      </c>
      <c r="M71" s="159" t="e">
        <f>'Financial Data Input'!O110/'Financial Data Input'!O$111</f>
        <v>#DIV/0!</v>
      </c>
    </row>
    <row r="72" spans="1:13">
      <c r="B72" s="215">
        <f>SUM(B68:B71)</f>
        <v>1</v>
      </c>
      <c r="C72" s="215">
        <f t="shared" ref="C72:M72" si="13">SUM(C68:C71)</f>
        <v>0.99999999999999989</v>
      </c>
      <c r="D72" s="215">
        <f t="shared" si="13"/>
        <v>1</v>
      </c>
      <c r="E72" s="215">
        <f t="shared" si="13"/>
        <v>1</v>
      </c>
      <c r="F72" s="215">
        <f t="shared" si="13"/>
        <v>0.99999999999999989</v>
      </c>
      <c r="G72" s="215" t="e">
        <f t="shared" si="13"/>
        <v>#DIV/0!</v>
      </c>
      <c r="H72" s="215" t="e">
        <f t="shared" si="13"/>
        <v>#DIV/0!</v>
      </c>
      <c r="I72" s="215" t="e">
        <f t="shared" si="13"/>
        <v>#DIV/0!</v>
      </c>
      <c r="J72" s="215" t="e">
        <f t="shared" si="13"/>
        <v>#DIV/0!</v>
      </c>
      <c r="K72" s="215" t="e">
        <f t="shared" si="13"/>
        <v>#DIV/0!</v>
      </c>
      <c r="L72" s="215" t="e">
        <f t="shared" si="13"/>
        <v>#DIV/0!</v>
      </c>
      <c r="M72" s="215" t="e">
        <f t="shared" si="13"/>
        <v>#DIV/0!</v>
      </c>
    </row>
    <row r="73" spans="1:13">
      <c r="B73" s="215"/>
      <c r="C73" s="215"/>
      <c r="D73" s="215"/>
      <c r="E73" s="215"/>
      <c r="F73" s="215"/>
      <c r="G73" s="215"/>
      <c r="H73" s="215"/>
      <c r="I73" s="215"/>
      <c r="J73" s="215"/>
      <c r="K73" s="215"/>
      <c r="L73" s="215"/>
      <c r="M73" s="215"/>
    </row>
    <row r="74" spans="1:13">
      <c r="B74" s="146">
        <f>B67</f>
        <v>41851</v>
      </c>
      <c r="C74" s="146">
        <f t="shared" ref="C74:M74" si="14">C67</f>
        <v>41882</v>
      </c>
      <c r="D74" s="146">
        <f t="shared" si="14"/>
        <v>41912</v>
      </c>
      <c r="E74" s="146">
        <f t="shared" si="14"/>
        <v>41943</v>
      </c>
      <c r="F74" s="146">
        <f t="shared" si="14"/>
        <v>41973</v>
      </c>
      <c r="G74" s="146">
        <f t="shared" si="14"/>
        <v>42004</v>
      </c>
      <c r="H74" s="146">
        <f t="shared" si="14"/>
        <v>42035</v>
      </c>
      <c r="I74" s="146">
        <f t="shared" si="14"/>
        <v>42063</v>
      </c>
      <c r="J74" s="146">
        <f t="shared" si="14"/>
        <v>42094</v>
      </c>
      <c r="K74" s="146">
        <f t="shared" si="14"/>
        <v>42124</v>
      </c>
      <c r="L74" s="146">
        <f t="shared" si="14"/>
        <v>42155</v>
      </c>
      <c r="M74" s="146">
        <f t="shared" si="14"/>
        <v>42185</v>
      </c>
    </row>
    <row r="75" spans="1:13">
      <c r="A75" s="94" t="s">
        <v>113</v>
      </c>
      <c r="B75" s="215">
        <f>SUM(B69:B71)</f>
        <v>0.25</v>
      </c>
      <c r="C75" s="215">
        <f t="shared" ref="C75:M75" si="15">SUM(C69:C71)</f>
        <v>0.28000000000000003</v>
      </c>
      <c r="D75" s="215">
        <f t="shared" si="15"/>
        <v>0.18181818181818182</v>
      </c>
      <c r="E75" s="215">
        <f t="shared" si="15"/>
        <v>7.6923076923076927E-2</v>
      </c>
      <c r="F75" s="215">
        <f t="shared" si="15"/>
        <v>0.14285714285714285</v>
      </c>
      <c r="G75" s="215" t="e">
        <f t="shared" si="15"/>
        <v>#DIV/0!</v>
      </c>
      <c r="H75" s="215" t="e">
        <f t="shared" si="15"/>
        <v>#DIV/0!</v>
      </c>
      <c r="I75" s="215" t="e">
        <f t="shared" si="15"/>
        <v>#DIV/0!</v>
      </c>
      <c r="J75" s="215" t="e">
        <f t="shared" si="15"/>
        <v>#DIV/0!</v>
      </c>
      <c r="K75" s="215" t="e">
        <f t="shared" si="15"/>
        <v>#DIV/0!</v>
      </c>
      <c r="L75" s="215" t="e">
        <f t="shared" si="15"/>
        <v>#DIV/0!</v>
      </c>
      <c r="M75" s="215" t="e">
        <f t="shared" si="15"/>
        <v>#DIV/0!</v>
      </c>
    </row>
    <row r="78" spans="1:13">
      <c r="A78" s="94" t="s">
        <v>107</v>
      </c>
      <c r="B78" s="146">
        <f>B67</f>
        <v>41851</v>
      </c>
      <c r="C78" s="146">
        <f t="shared" ref="C78:M78" si="16">C67</f>
        <v>41882</v>
      </c>
      <c r="D78" s="146">
        <f t="shared" si="16"/>
        <v>41912</v>
      </c>
      <c r="E78" s="146">
        <f t="shared" si="16"/>
        <v>41943</v>
      </c>
      <c r="F78" s="146">
        <f t="shared" si="16"/>
        <v>41973</v>
      </c>
      <c r="G78" s="146">
        <f t="shared" si="16"/>
        <v>42004</v>
      </c>
      <c r="H78" s="146">
        <f t="shared" si="16"/>
        <v>42035</v>
      </c>
      <c r="I78" s="146">
        <f t="shared" si="16"/>
        <v>42063</v>
      </c>
      <c r="J78" s="146">
        <f t="shared" si="16"/>
        <v>42094</v>
      </c>
      <c r="K78" s="146">
        <f t="shared" si="16"/>
        <v>42124</v>
      </c>
      <c r="L78" s="146">
        <f t="shared" si="16"/>
        <v>42155</v>
      </c>
      <c r="M78" s="146">
        <f t="shared" si="16"/>
        <v>42185</v>
      </c>
    </row>
    <row r="79" spans="1:13">
      <c r="A79" t="str">
        <f>'Financial Data Input'!A117</f>
        <v>Current</v>
      </c>
      <c r="B79" s="159">
        <f>'Financial Data Input'!D117/'Financial Data Input'!D$121</f>
        <v>0.83333333333333337</v>
      </c>
      <c r="C79" s="159">
        <f>'Financial Data Input'!E117/'Financial Data Input'!E$121</f>
        <v>0.85470085470085466</v>
      </c>
      <c r="D79" s="159">
        <f>'Financial Data Input'!F117/'Financial Data Input'!F$121</f>
        <v>0.92024539877300615</v>
      </c>
      <c r="E79" s="159">
        <f>'Financial Data Input'!G117/'Financial Data Input'!G$121</f>
        <v>0.76190476190476186</v>
      </c>
      <c r="F79" s="159">
        <f>'Financial Data Input'!H117/'Financial Data Input'!H$121</f>
        <v>0.91666666666666663</v>
      </c>
      <c r="G79" s="159" t="e">
        <f>'Financial Data Input'!I117/'Financial Data Input'!I$121</f>
        <v>#DIV/0!</v>
      </c>
      <c r="H79" s="159" t="e">
        <f>'Financial Data Input'!J117/'Financial Data Input'!J$121</f>
        <v>#DIV/0!</v>
      </c>
      <c r="I79" s="159" t="e">
        <f>'Financial Data Input'!K117/'Financial Data Input'!K$121</f>
        <v>#DIV/0!</v>
      </c>
      <c r="J79" s="159" t="e">
        <f>'Financial Data Input'!L117/'Financial Data Input'!L$121</f>
        <v>#DIV/0!</v>
      </c>
      <c r="K79" s="159" t="e">
        <f>'Financial Data Input'!M117/'Financial Data Input'!M$121</f>
        <v>#DIV/0!</v>
      </c>
      <c r="L79" s="159" t="e">
        <f>'Financial Data Input'!N117/'Financial Data Input'!N$121</f>
        <v>#DIV/0!</v>
      </c>
      <c r="M79" s="159" t="e">
        <f>'Financial Data Input'!O117/'Financial Data Input'!O$121</f>
        <v>#DIV/0!</v>
      </c>
    </row>
    <row r="80" spans="1:13">
      <c r="A80" t="str">
        <f>'Financial Data Input'!A118</f>
        <v>One month overdue</v>
      </c>
      <c r="B80" s="159">
        <f>'Financial Data Input'!D118/'Financial Data Input'!D$121</f>
        <v>0.16666666666666666</v>
      </c>
      <c r="C80" s="159">
        <f>'Financial Data Input'!E118/'Financial Data Input'!E$121</f>
        <v>5.9829059829059832E-2</v>
      </c>
      <c r="D80" s="159">
        <f>'Financial Data Input'!F118/'Financial Data Input'!F$121</f>
        <v>5.112474437627812E-2</v>
      </c>
      <c r="E80" s="159">
        <f>'Financial Data Input'!G118/'Financial Data Input'!G$121</f>
        <v>9.5238095238095233E-2</v>
      </c>
      <c r="F80" s="159">
        <f>'Financial Data Input'!H118/'Financial Data Input'!H$121</f>
        <v>8.3333333333333329E-2</v>
      </c>
      <c r="G80" s="159" t="e">
        <f>'Financial Data Input'!I118/'Financial Data Input'!I$121</f>
        <v>#DIV/0!</v>
      </c>
      <c r="H80" s="159" t="e">
        <f>'Financial Data Input'!J118/'Financial Data Input'!J$121</f>
        <v>#DIV/0!</v>
      </c>
      <c r="I80" s="159" t="e">
        <f>'Financial Data Input'!K118/'Financial Data Input'!K$121</f>
        <v>#DIV/0!</v>
      </c>
      <c r="J80" s="159" t="e">
        <f>'Financial Data Input'!L118/'Financial Data Input'!L$121</f>
        <v>#DIV/0!</v>
      </c>
      <c r="K80" s="159" t="e">
        <f>'Financial Data Input'!M118/'Financial Data Input'!M$121</f>
        <v>#DIV/0!</v>
      </c>
      <c r="L80" s="159" t="e">
        <f>'Financial Data Input'!N118/'Financial Data Input'!N$121</f>
        <v>#DIV/0!</v>
      </c>
      <c r="M80" s="159" t="e">
        <f>'Financial Data Input'!O118/'Financial Data Input'!O$121</f>
        <v>#DIV/0!</v>
      </c>
    </row>
    <row r="81" spans="1:13">
      <c r="A81" t="str">
        <f>'Financial Data Input'!A119</f>
        <v>Two months overdue</v>
      </c>
      <c r="B81" s="159">
        <f>'Financial Data Input'!D119/'Financial Data Input'!D$121</f>
        <v>0</v>
      </c>
      <c r="C81" s="159">
        <f>'Financial Data Input'!E119/'Financial Data Input'!E$121</f>
        <v>8.5470085470085472E-2</v>
      </c>
      <c r="D81" s="159">
        <f>'Financial Data Input'!F119/'Financial Data Input'!F$121</f>
        <v>2.8629856850715747E-2</v>
      </c>
      <c r="E81" s="159">
        <f>'Financial Data Input'!G119/'Financial Data Input'!G$121</f>
        <v>9.5238095238095233E-2</v>
      </c>
      <c r="F81" s="159">
        <f>'Financial Data Input'!H119/'Financial Data Input'!H$121</f>
        <v>0</v>
      </c>
      <c r="G81" s="159" t="e">
        <f>'Financial Data Input'!I119/'Financial Data Input'!I$121</f>
        <v>#DIV/0!</v>
      </c>
      <c r="H81" s="159" t="e">
        <f>'Financial Data Input'!J119/'Financial Data Input'!J$121</f>
        <v>#DIV/0!</v>
      </c>
      <c r="I81" s="159" t="e">
        <f>'Financial Data Input'!K119/'Financial Data Input'!K$121</f>
        <v>#DIV/0!</v>
      </c>
      <c r="J81" s="159" t="e">
        <f>'Financial Data Input'!L119/'Financial Data Input'!L$121</f>
        <v>#DIV/0!</v>
      </c>
      <c r="K81" s="159" t="e">
        <f>'Financial Data Input'!M119/'Financial Data Input'!M$121</f>
        <v>#DIV/0!</v>
      </c>
      <c r="L81" s="159" t="e">
        <f>'Financial Data Input'!N119/'Financial Data Input'!N$121</f>
        <v>#DIV/0!</v>
      </c>
      <c r="M81" s="159" t="e">
        <f>'Financial Data Input'!O119/'Financial Data Input'!O$121</f>
        <v>#DIV/0!</v>
      </c>
    </row>
    <row r="82" spans="1:13">
      <c r="A82" t="str">
        <f>'Financial Data Input'!A120</f>
        <v>Three months or more overdue</v>
      </c>
      <c r="B82" s="159">
        <f>'Financial Data Input'!D120/'Financial Data Input'!D$121</f>
        <v>0</v>
      </c>
      <c r="C82" s="159">
        <f>'Financial Data Input'!E120/'Financial Data Input'!E$121</f>
        <v>0</v>
      </c>
      <c r="D82" s="159">
        <f>'Financial Data Input'!F120/'Financial Data Input'!F$121</f>
        <v>0</v>
      </c>
      <c r="E82" s="159">
        <f>'Financial Data Input'!G120/'Financial Data Input'!G$121</f>
        <v>4.7619047619047616E-2</v>
      </c>
      <c r="F82" s="159">
        <f>'Financial Data Input'!H120/'Financial Data Input'!H$121</f>
        <v>0</v>
      </c>
      <c r="G82" s="159" t="e">
        <f>'Financial Data Input'!I120/'Financial Data Input'!I$121</f>
        <v>#DIV/0!</v>
      </c>
      <c r="H82" s="159" t="e">
        <f>'Financial Data Input'!J120/'Financial Data Input'!J$121</f>
        <v>#DIV/0!</v>
      </c>
      <c r="I82" s="159" t="e">
        <f>'Financial Data Input'!K120/'Financial Data Input'!K$121</f>
        <v>#DIV/0!</v>
      </c>
      <c r="J82" s="159" t="e">
        <f>'Financial Data Input'!L120/'Financial Data Input'!L$121</f>
        <v>#DIV/0!</v>
      </c>
      <c r="K82" s="159" t="e">
        <f>'Financial Data Input'!M120/'Financial Data Input'!M$121</f>
        <v>#DIV/0!</v>
      </c>
      <c r="L82" s="159" t="e">
        <f>'Financial Data Input'!N120/'Financial Data Input'!N$121</f>
        <v>#DIV/0!</v>
      </c>
      <c r="M82" s="159" t="e">
        <f>'Financial Data Input'!O120/'Financial Data Input'!O$121</f>
        <v>#DIV/0!</v>
      </c>
    </row>
    <row r="83" spans="1:13">
      <c r="B83" s="215">
        <f>SUM(B79:B82)</f>
        <v>1</v>
      </c>
      <c r="C83" s="215">
        <f t="shared" ref="C83:M83" si="17">SUM(C79:C82)</f>
        <v>1</v>
      </c>
      <c r="D83" s="215">
        <f t="shared" si="17"/>
        <v>1</v>
      </c>
      <c r="E83" s="215">
        <f t="shared" si="17"/>
        <v>1</v>
      </c>
      <c r="F83" s="215">
        <f t="shared" si="17"/>
        <v>1</v>
      </c>
      <c r="G83" s="215" t="e">
        <f t="shared" si="17"/>
        <v>#DIV/0!</v>
      </c>
      <c r="H83" s="215" t="e">
        <f t="shared" si="17"/>
        <v>#DIV/0!</v>
      </c>
      <c r="I83" s="215" t="e">
        <f t="shared" si="17"/>
        <v>#DIV/0!</v>
      </c>
      <c r="J83" s="215" t="e">
        <f t="shared" si="17"/>
        <v>#DIV/0!</v>
      </c>
      <c r="K83" s="215" t="e">
        <f t="shared" si="17"/>
        <v>#DIV/0!</v>
      </c>
      <c r="L83" s="215" t="e">
        <f t="shared" si="17"/>
        <v>#DIV/0!</v>
      </c>
      <c r="M83" s="215" t="e">
        <f t="shared" si="17"/>
        <v>#DIV/0!</v>
      </c>
    </row>
    <row r="84" spans="1:13">
      <c r="B84" s="215"/>
      <c r="C84" s="215"/>
      <c r="D84" s="215"/>
      <c r="E84" s="215"/>
      <c r="F84" s="215"/>
      <c r="G84" s="215"/>
      <c r="H84" s="215"/>
      <c r="I84" s="215"/>
      <c r="J84" s="215"/>
      <c r="K84" s="215"/>
      <c r="L84" s="215"/>
      <c r="M84" s="215"/>
    </row>
    <row r="85" spans="1:13">
      <c r="B85" s="146">
        <f>B74</f>
        <v>41851</v>
      </c>
      <c r="C85" s="146">
        <f t="shared" ref="C85:M85" si="18">C74</f>
        <v>41882</v>
      </c>
      <c r="D85" s="146">
        <f t="shared" si="18"/>
        <v>41912</v>
      </c>
      <c r="E85" s="146">
        <f t="shared" si="18"/>
        <v>41943</v>
      </c>
      <c r="F85" s="146">
        <f t="shared" si="18"/>
        <v>41973</v>
      </c>
      <c r="G85" s="146">
        <f t="shared" si="18"/>
        <v>42004</v>
      </c>
      <c r="H85" s="146">
        <f t="shared" si="18"/>
        <v>42035</v>
      </c>
      <c r="I85" s="146">
        <f t="shared" si="18"/>
        <v>42063</v>
      </c>
      <c r="J85" s="146">
        <f t="shared" si="18"/>
        <v>42094</v>
      </c>
      <c r="K85" s="146">
        <f t="shared" si="18"/>
        <v>42124</v>
      </c>
      <c r="L85" s="146">
        <f t="shared" si="18"/>
        <v>42155</v>
      </c>
      <c r="M85" s="146">
        <f t="shared" si="18"/>
        <v>42185</v>
      </c>
    </row>
    <row r="86" spans="1:13">
      <c r="A86" s="94" t="s">
        <v>142</v>
      </c>
      <c r="B86">
        <f>'Financial Data Input'!D178</f>
        <v>120</v>
      </c>
      <c r="C86">
        <f>'Financial Data Input'!E178</f>
        <v>100</v>
      </c>
      <c r="D86">
        <f>'Financial Data Input'!F178</f>
        <v>-30</v>
      </c>
      <c r="E86">
        <f>'Financial Data Input'!G178</f>
        <v>100</v>
      </c>
      <c r="F86">
        <f>'Financial Data Input'!H178</f>
        <v>120</v>
      </c>
      <c r="G86">
        <f>'Financial Data Input'!I178</f>
        <v>90</v>
      </c>
      <c r="H86">
        <f>'Financial Data Input'!J178</f>
        <v>60</v>
      </c>
      <c r="I86">
        <f>'Financial Data Input'!K178</f>
        <v>90</v>
      </c>
      <c r="J86">
        <f>'Financial Data Input'!L178</f>
        <v>85</v>
      </c>
      <c r="K86">
        <f>'Financial Data Input'!M178</f>
        <v>110</v>
      </c>
      <c r="L86">
        <f>'Financial Data Input'!N178</f>
        <v>70</v>
      </c>
      <c r="M86">
        <f>'Financial Data Input'!O178</f>
        <v>65</v>
      </c>
    </row>
    <row r="87" spans="1:13">
      <c r="A87" s="94" t="s">
        <v>119</v>
      </c>
      <c r="B87">
        <f>'Financial Data Input'!D179</f>
        <v>1130</v>
      </c>
      <c r="C87">
        <f>'Financial Data Input'!E179</f>
        <v>1160</v>
      </c>
      <c r="D87">
        <f>'Financial Data Input'!F179</f>
        <v>1010</v>
      </c>
      <c r="E87">
        <f>'Financial Data Input'!G179</f>
        <v>1180</v>
      </c>
      <c r="F87">
        <f>'Financial Data Input'!H179</f>
        <v>1120</v>
      </c>
      <c r="G87">
        <f>'Financial Data Input'!I179</f>
        <v>0</v>
      </c>
      <c r="H87">
        <f>'Financial Data Input'!J179</f>
        <v>0</v>
      </c>
      <c r="I87">
        <f>'Financial Data Input'!K179</f>
        <v>0</v>
      </c>
      <c r="J87">
        <f>'Financial Data Input'!L179</f>
        <v>0</v>
      </c>
      <c r="K87">
        <f>'Financial Data Input'!M179</f>
        <v>0</v>
      </c>
      <c r="L87">
        <f>'Financial Data Input'!N179</f>
        <v>0</v>
      </c>
      <c r="M87">
        <f>'Financial Data Input'!O179</f>
        <v>0</v>
      </c>
    </row>
    <row r="88" spans="1:13">
      <c r="A88" s="94" t="s">
        <v>122</v>
      </c>
      <c r="B88">
        <f>'Financial Data Input'!D182</f>
        <v>1130</v>
      </c>
      <c r="C88">
        <f>'Financial Data Input'!E182</f>
        <v>1160</v>
      </c>
      <c r="D88">
        <f>'Financial Data Input'!F182</f>
        <v>1010</v>
      </c>
      <c r="E88">
        <f>'Financial Data Input'!G182</f>
        <v>1180</v>
      </c>
      <c r="F88">
        <f>'Financial Data Input'!H182</f>
        <v>1120</v>
      </c>
      <c r="G88">
        <f>'Financial Data Input'!I182</f>
        <v>1090</v>
      </c>
      <c r="H88">
        <f>'Financial Data Input'!J182</f>
        <v>1060</v>
      </c>
      <c r="I88">
        <f>'Financial Data Input'!K182</f>
        <v>1090</v>
      </c>
      <c r="J88">
        <f>'Financial Data Input'!L182</f>
        <v>1085</v>
      </c>
      <c r="K88">
        <f>'Financial Data Input'!M182</f>
        <v>1110</v>
      </c>
      <c r="L88">
        <f>'Financial Data Input'!N182</f>
        <v>1070</v>
      </c>
      <c r="M88">
        <f>'Financial Data Input'!O182</f>
        <v>1065</v>
      </c>
    </row>
    <row r="90" spans="1:13">
      <c r="C90" s="94" t="s">
        <v>8</v>
      </c>
      <c r="D90" s="94" t="s">
        <v>7</v>
      </c>
      <c r="E90" s="94" t="s">
        <v>123</v>
      </c>
    </row>
    <row r="91" spans="1:13">
      <c r="B91" s="146">
        <f>B85</f>
        <v>41851</v>
      </c>
      <c r="C91" s="147">
        <f>B86</f>
        <v>120</v>
      </c>
      <c r="D91" s="147">
        <f>IF(B$87=0,NA(),B$87)</f>
        <v>1130</v>
      </c>
      <c r="E91" s="147" t="e">
        <f>IF(B86=0,B87,NA())</f>
        <v>#N/A</v>
      </c>
    </row>
    <row r="92" spans="1:13">
      <c r="B92" s="146">
        <f>C85</f>
        <v>41882</v>
      </c>
      <c r="C92" s="147">
        <f>C86</f>
        <v>100</v>
      </c>
      <c r="D92" s="147">
        <f>IF(C$87=0,NA(),C$87)</f>
        <v>1160</v>
      </c>
      <c r="E92" s="147" t="e">
        <f>IF(C$87=0,C$88,NA())</f>
        <v>#N/A</v>
      </c>
    </row>
    <row r="93" spans="1:13">
      <c r="B93" s="146">
        <f>D85</f>
        <v>41912</v>
      </c>
      <c r="C93" s="147">
        <f>D86</f>
        <v>-30</v>
      </c>
      <c r="D93" s="147">
        <f>IF(D$87=0,NA(),D$87)</f>
        <v>1010</v>
      </c>
      <c r="E93" s="147" t="e">
        <f>IF(D$87=0,D$88,NA())</f>
        <v>#N/A</v>
      </c>
    </row>
    <row r="94" spans="1:13">
      <c r="B94" s="146">
        <f>E85</f>
        <v>41943</v>
      </c>
      <c r="C94" s="147">
        <f>E86</f>
        <v>100</v>
      </c>
      <c r="D94" s="147">
        <f>IF(E$87=0,NA(),E$87)</f>
        <v>1180</v>
      </c>
      <c r="E94" s="147" t="e">
        <f>IF(E$87=0,E$88,NA())</f>
        <v>#N/A</v>
      </c>
    </row>
    <row r="95" spans="1:13">
      <c r="B95" s="146">
        <f>F85</f>
        <v>41973</v>
      </c>
      <c r="C95" s="147">
        <f>F86</f>
        <v>120</v>
      </c>
      <c r="D95" s="147">
        <f>IF(F$87=0,NA(),F$87)</f>
        <v>1120</v>
      </c>
      <c r="E95" s="147" t="e">
        <f>IF(F$87=0,F$88,NA())</f>
        <v>#N/A</v>
      </c>
    </row>
    <row r="96" spans="1:13">
      <c r="B96" s="146">
        <f>G85</f>
        <v>42004</v>
      </c>
      <c r="C96" s="147">
        <f>G86</f>
        <v>90</v>
      </c>
      <c r="D96" s="147" t="e">
        <f>IF(G$87=0,NA(),G$87)</f>
        <v>#N/A</v>
      </c>
      <c r="E96" s="147">
        <f>IF(G$87=0,G$88,NA())</f>
        <v>1090</v>
      </c>
    </row>
    <row r="97" spans="1:15">
      <c r="B97" s="146">
        <f>H85</f>
        <v>42035</v>
      </c>
      <c r="C97" s="147">
        <f>H86</f>
        <v>60</v>
      </c>
      <c r="D97" s="147" t="e">
        <f>IF(H$87=0,NA(),H$87)</f>
        <v>#N/A</v>
      </c>
      <c r="E97" s="147">
        <f>IF(H$87=0,H$88,NA())</f>
        <v>1060</v>
      </c>
    </row>
    <row r="98" spans="1:15">
      <c r="B98" s="146">
        <f>I85</f>
        <v>42063</v>
      </c>
      <c r="C98" s="147">
        <f>I86</f>
        <v>90</v>
      </c>
      <c r="D98" s="147" t="e">
        <f>IF(I$87=0,NA(),I$87)</f>
        <v>#N/A</v>
      </c>
      <c r="E98" s="147">
        <f>IF(I$87=0,I$88,NA())</f>
        <v>1090</v>
      </c>
    </row>
    <row r="99" spans="1:15">
      <c r="B99" s="146">
        <f>J85</f>
        <v>42094</v>
      </c>
      <c r="C99" s="147">
        <f>J86</f>
        <v>85</v>
      </c>
      <c r="D99" s="147" t="e">
        <f>IF(J$87=0,NA(),J$87)</f>
        <v>#N/A</v>
      </c>
      <c r="E99" s="147">
        <f>IF(J$87=0,J$88,NA())</f>
        <v>1085</v>
      </c>
    </row>
    <row r="100" spans="1:15">
      <c r="B100" s="146">
        <f>K85</f>
        <v>42124</v>
      </c>
      <c r="C100" s="147">
        <f>K86</f>
        <v>110</v>
      </c>
      <c r="D100" s="147" t="e">
        <f>IF(K$87=0,NA(),K$87)</f>
        <v>#N/A</v>
      </c>
      <c r="E100" s="147">
        <f>IF(K$87=0,K$88,NA())</f>
        <v>1110</v>
      </c>
    </row>
    <row r="101" spans="1:15">
      <c r="B101" s="146">
        <f>L85</f>
        <v>42155</v>
      </c>
      <c r="C101" s="147">
        <f>L86</f>
        <v>70</v>
      </c>
      <c r="D101" s="147" t="e">
        <f>IF(L$87=0,NA(),L$87)</f>
        <v>#N/A</v>
      </c>
      <c r="E101" s="147">
        <f>IF(L$87=0,L$88,NA())</f>
        <v>1070</v>
      </c>
    </row>
    <row r="102" spans="1:15">
      <c r="B102" s="146">
        <f>M85</f>
        <v>42185</v>
      </c>
      <c r="C102" s="147">
        <f>M86</f>
        <v>65</v>
      </c>
      <c r="D102" s="147" t="e">
        <f>IF(M$87=0,NA(),M$87)</f>
        <v>#N/A</v>
      </c>
      <c r="E102" s="147">
        <f>IF(M$87=0,M$88,NA())</f>
        <v>1065</v>
      </c>
    </row>
    <row r="105" spans="1:15">
      <c r="B105" s="146">
        <f>B74</f>
        <v>41851</v>
      </c>
      <c r="C105" s="146">
        <f t="shared" ref="C105:M105" si="19">C74</f>
        <v>41882</v>
      </c>
      <c r="D105" s="146">
        <f t="shared" si="19"/>
        <v>41912</v>
      </c>
      <c r="E105" s="146">
        <f t="shared" si="19"/>
        <v>41943</v>
      </c>
      <c r="F105" s="146">
        <f t="shared" si="19"/>
        <v>41973</v>
      </c>
      <c r="G105" s="146">
        <f t="shared" si="19"/>
        <v>42004</v>
      </c>
      <c r="H105" s="146">
        <f t="shared" si="19"/>
        <v>42035</v>
      </c>
      <c r="I105" s="146">
        <f t="shared" si="19"/>
        <v>42063</v>
      </c>
      <c r="J105" s="146">
        <f t="shared" si="19"/>
        <v>42094</v>
      </c>
      <c r="K105" s="146">
        <f t="shared" si="19"/>
        <v>42124</v>
      </c>
      <c r="L105" s="146">
        <f t="shared" si="19"/>
        <v>42155</v>
      </c>
      <c r="M105" s="146">
        <f t="shared" si="19"/>
        <v>42185</v>
      </c>
      <c r="O105" s="281" t="s">
        <v>3</v>
      </c>
    </row>
    <row r="106" spans="1:15">
      <c r="A106" s="94" t="s">
        <v>8</v>
      </c>
      <c r="B106" s="94">
        <f>'Financial Data Input'!D191</f>
        <v>212</v>
      </c>
      <c r="C106" s="94">
        <f>'Financial Data Input'!E191</f>
        <v>335</v>
      </c>
      <c r="D106" s="94">
        <f>'Financial Data Input'!F191</f>
        <v>161</v>
      </c>
      <c r="E106" s="94">
        <f>'Financial Data Input'!G191</f>
        <v>185</v>
      </c>
      <c r="F106" s="94">
        <f>'Financial Data Input'!H191</f>
        <v>185</v>
      </c>
      <c r="G106" s="94">
        <f>'Financial Data Input'!I191</f>
        <v>385</v>
      </c>
      <c r="H106" s="94">
        <f>'Financial Data Input'!J191</f>
        <v>235</v>
      </c>
      <c r="I106" s="94">
        <f>'Financial Data Input'!K191</f>
        <v>185</v>
      </c>
      <c r="J106" s="94">
        <f>'Financial Data Input'!L191</f>
        <v>185</v>
      </c>
      <c r="K106" s="94">
        <f>'Financial Data Input'!M191</f>
        <v>185</v>
      </c>
      <c r="L106" s="94">
        <f>'Financial Data Input'!N191</f>
        <v>185</v>
      </c>
      <c r="M106" s="94">
        <f>'Financial Data Input'!O191</f>
        <v>185</v>
      </c>
      <c r="O106" s="94">
        <f>'Financial Data Input'!Q191</f>
        <v>2623</v>
      </c>
    </row>
    <row r="107" spans="1:15">
      <c r="A107" s="94" t="s">
        <v>7</v>
      </c>
      <c r="B107" s="94">
        <f>'Financial Data Input'!D192</f>
        <v>-134</v>
      </c>
      <c r="C107" s="94">
        <f>'Financial Data Input'!E192</f>
        <v>266</v>
      </c>
      <c r="D107" s="94">
        <f>'Financial Data Input'!F192</f>
        <v>91</v>
      </c>
      <c r="E107" s="94">
        <f>'Financial Data Input'!G192</f>
        <v>150</v>
      </c>
      <c r="F107" s="94">
        <f>'Financial Data Input'!H192</f>
        <v>-1089</v>
      </c>
      <c r="G107" s="94">
        <f>'Financial Data Input'!I192</f>
        <v>0</v>
      </c>
      <c r="H107" s="94">
        <f>'Financial Data Input'!J192</f>
        <v>0</v>
      </c>
      <c r="I107" s="94">
        <f>'Financial Data Input'!K192</f>
        <v>0</v>
      </c>
      <c r="J107" s="94">
        <f>'Financial Data Input'!L192</f>
        <v>0</v>
      </c>
      <c r="K107" s="94">
        <f>'Financial Data Input'!M192</f>
        <v>0</v>
      </c>
      <c r="L107" s="94">
        <f>'Financial Data Input'!N192</f>
        <v>0</v>
      </c>
      <c r="M107" s="94">
        <f>'Financial Data Input'!O192</f>
        <v>0</v>
      </c>
      <c r="O107" s="94">
        <f>'Financial Data Input'!Q192</f>
        <v>-716</v>
      </c>
    </row>
    <row r="108" spans="1:15">
      <c r="A108" s="94" t="s">
        <v>123</v>
      </c>
      <c r="B108" s="94">
        <f>'Financial Data Input'!D193</f>
        <v>-134</v>
      </c>
      <c r="C108" s="94">
        <f>'Financial Data Input'!E193</f>
        <v>266</v>
      </c>
      <c r="D108" s="94">
        <f>'Financial Data Input'!F193</f>
        <v>91</v>
      </c>
      <c r="E108" s="94">
        <f>'Financial Data Input'!G193</f>
        <v>150</v>
      </c>
      <c r="F108" s="94">
        <f>'Financial Data Input'!H193</f>
        <v>-1089</v>
      </c>
      <c r="G108" s="94">
        <f>'Financial Data Input'!I193</f>
        <v>550</v>
      </c>
      <c r="H108" s="94">
        <f>'Financial Data Input'!J193</f>
        <v>100</v>
      </c>
      <c r="I108" s="94">
        <f>'Financial Data Input'!K193</f>
        <v>30</v>
      </c>
      <c r="J108" s="94">
        <f>'Financial Data Input'!L193</f>
        <v>50</v>
      </c>
      <c r="K108" s="94">
        <f>'Financial Data Input'!M193</f>
        <v>30</v>
      </c>
      <c r="L108" s="94">
        <f>'Financial Data Input'!N193</f>
        <v>30</v>
      </c>
      <c r="M108" s="94">
        <f>'Financial Data Input'!O193</f>
        <v>50</v>
      </c>
      <c r="O108" s="94">
        <f>'Financial Data Input'!Q193</f>
        <v>124</v>
      </c>
    </row>
    <row r="110" spans="1:15">
      <c r="C110" s="94" t="s">
        <v>8</v>
      </c>
      <c r="D110" s="94" t="s">
        <v>7</v>
      </c>
      <c r="E110" s="94" t="s">
        <v>123</v>
      </c>
    </row>
    <row r="111" spans="1:15">
      <c r="B111" s="146">
        <f>B105</f>
        <v>41851</v>
      </c>
      <c r="C111" s="147">
        <f>B106</f>
        <v>212</v>
      </c>
      <c r="D111" s="147">
        <f>IF(B$107=0,NA(),B$107)</f>
        <v>-134</v>
      </c>
      <c r="E111" s="147" t="e">
        <f>IF(B106=0,B107,NA())</f>
        <v>#N/A</v>
      </c>
    </row>
    <row r="112" spans="1:15">
      <c r="B112" s="146">
        <f>C105</f>
        <v>41882</v>
      </c>
      <c r="C112" s="147">
        <f>C106</f>
        <v>335</v>
      </c>
      <c r="D112" s="147">
        <f>IF(C$107=0,NA(),C$107)</f>
        <v>266</v>
      </c>
      <c r="E112" s="147" t="e">
        <f>IF(C$107=0,C$108,NA())</f>
        <v>#N/A</v>
      </c>
    </row>
    <row r="113" spans="1:13">
      <c r="B113" s="146">
        <f>D105</f>
        <v>41912</v>
      </c>
      <c r="C113" s="147">
        <f>D106</f>
        <v>161</v>
      </c>
      <c r="D113" s="147">
        <f>IF(D$107=0,NA(),D$107)</f>
        <v>91</v>
      </c>
      <c r="E113" s="147" t="e">
        <f>IF(D$107=0,D$108,NA())</f>
        <v>#N/A</v>
      </c>
    </row>
    <row r="114" spans="1:13">
      <c r="B114" s="146">
        <f>E105</f>
        <v>41943</v>
      </c>
      <c r="C114" s="147">
        <f>E106</f>
        <v>185</v>
      </c>
      <c r="D114" s="147">
        <f>IF(E$107=0,NA(),E$107)</f>
        <v>150</v>
      </c>
      <c r="E114" s="147" t="e">
        <f>IF(E$107=0,E$108,NA())</f>
        <v>#N/A</v>
      </c>
    </row>
    <row r="115" spans="1:13">
      <c r="B115" s="146">
        <f>F105</f>
        <v>41973</v>
      </c>
      <c r="C115" s="147">
        <f>F106</f>
        <v>185</v>
      </c>
      <c r="D115" s="147">
        <f>IF(F$107=0,NA(),F$107)</f>
        <v>-1089</v>
      </c>
      <c r="E115" s="147" t="e">
        <f>IF(F$107=0,F$108,NA())</f>
        <v>#N/A</v>
      </c>
    </row>
    <row r="116" spans="1:13">
      <c r="B116" s="146">
        <f>G105</f>
        <v>42004</v>
      </c>
      <c r="C116" s="147">
        <f>G106</f>
        <v>385</v>
      </c>
      <c r="D116" s="147" t="e">
        <f>IF(G$107=0,NA(),G$107)</f>
        <v>#N/A</v>
      </c>
      <c r="E116" s="147">
        <f>IF(G$107=0,G$108,NA())</f>
        <v>550</v>
      </c>
    </row>
    <row r="117" spans="1:13">
      <c r="B117" s="146">
        <f>H105</f>
        <v>42035</v>
      </c>
      <c r="C117" s="147">
        <f>H106</f>
        <v>235</v>
      </c>
      <c r="D117" s="147" t="e">
        <f>IF(H$107=0,NA(),H$107)</f>
        <v>#N/A</v>
      </c>
      <c r="E117" s="147">
        <f>IF(H$107=0,H$108,NA())</f>
        <v>100</v>
      </c>
    </row>
    <row r="118" spans="1:13">
      <c r="B118" s="146">
        <f>I105</f>
        <v>42063</v>
      </c>
      <c r="C118" s="147">
        <f>I106</f>
        <v>185</v>
      </c>
      <c r="D118" s="147" t="e">
        <f>IF(I$107=0,NA(),I$107)</f>
        <v>#N/A</v>
      </c>
      <c r="E118" s="147">
        <f>IF(I$107=0,I$108,NA())</f>
        <v>30</v>
      </c>
    </row>
    <row r="119" spans="1:13">
      <c r="B119" s="146">
        <f>J105</f>
        <v>42094</v>
      </c>
      <c r="C119" s="147">
        <f>J106</f>
        <v>185</v>
      </c>
      <c r="D119" s="147" t="e">
        <f>IF(J$107=0,NA(),J$107)</f>
        <v>#N/A</v>
      </c>
      <c r="E119" s="147">
        <f>IF(J$107=0,J$108,NA())</f>
        <v>50</v>
      </c>
    </row>
    <row r="120" spans="1:13">
      <c r="B120" s="146">
        <f>K105</f>
        <v>42124</v>
      </c>
      <c r="C120" s="147">
        <f>K106</f>
        <v>185</v>
      </c>
      <c r="D120" s="147" t="e">
        <f>IF(K$107=0,NA(),K$107)</f>
        <v>#N/A</v>
      </c>
      <c r="E120" s="147">
        <f>IF(K$107=0,K$108,NA())</f>
        <v>30</v>
      </c>
    </row>
    <row r="121" spans="1:13">
      <c r="B121" s="146">
        <f>L105</f>
        <v>42155</v>
      </c>
      <c r="C121" s="147">
        <f>L106</f>
        <v>185</v>
      </c>
      <c r="D121" s="147" t="e">
        <f>IF(L$107=0,NA(),L$107)</f>
        <v>#N/A</v>
      </c>
      <c r="E121" s="147">
        <f>IF(L$107=0,L$108,NA())</f>
        <v>30</v>
      </c>
    </row>
    <row r="122" spans="1:13">
      <c r="B122" s="146">
        <f>M105</f>
        <v>42185</v>
      </c>
      <c r="C122" s="147">
        <f>M106</f>
        <v>185</v>
      </c>
      <c r="D122" s="147" t="e">
        <f>IF(M$107=0,NA(),M$107)</f>
        <v>#N/A</v>
      </c>
      <c r="E122" s="147">
        <f>IF(M$107=0,M$108,NA())</f>
        <v>50</v>
      </c>
    </row>
    <row r="126" spans="1:13">
      <c r="A126" t="str">
        <f>'Financial Data Input'!A269</f>
        <v>Grant Funding</v>
      </c>
      <c r="B126" s="146">
        <f>B105</f>
        <v>41851</v>
      </c>
      <c r="C126" s="146">
        <f t="shared" ref="C126:M126" si="20">C105</f>
        <v>41882</v>
      </c>
      <c r="D126" s="146">
        <f t="shared" si="20"/>
        <v>41912</v>
      </c>
      <c r="E126" s="146">
        <f t="shared" si="20"/>
        <v>41943</v>
      </c>
      <c r="F126" s="146">
        <f t="shared" si="20"/>
        <v>41973</v>
      </c>
      <c r="G126" s="146">
        <f t="shared" si="20"/>
        <v>42004</v>
      </c>
      <c r="H126" s="146">
        <f t="shared" si="20"/>
        <v>42035</v>
      </c>
      <c r="I126" s="146">
        <f t="shared" si="20"/>
        <v>42063</v>
      </c>
      <c r="J126" s="146">
        <f t="shared" si="20"/>
        <v>42094</v>
      </c>
      <c r="K126" s="146">
        <f t="shared" si="20"/>
        <v>42124</v>
      </c>
      <c r="L126" s="146">
        <f t="shared" si="20"/>
        <v>42155</v>
      </c>
      <c r="M126" s="146">
        <f t="shared" si="20"/>
        <v>42185</v>
      </c>
    </row>
    <row r="127" spans="1:13">
      <c r="A127" s="94" t="s">
        <v>146</v>
      </c>
      <c r="B127" s="147">
        <f>'Financial Data Input'!D271</f>
        <v>927</v>
      </c>
      <c r="C127" s="147">
        <f>'Financial Data Input'!E271</f>
        <v>1977</v>
      </c>
      <c r="D127" s="147">
        <f>'Financial Data Input'!F271</f>
        <v>2853</v>
      </c>
      <c r="E127" s="147">
        <f>'Financial Data Input'!G271</f>
        <v>3753</v>
      </c>
      <c r="F127" s="147">
        <f>'Financial Data Input'!H271</f>
        <v>4653</v>
      </c>
      <c r="G127" s="147">
        <f>'Financial Data Input'!I271</f>
        <v>5753</v>
      </c>
      <c r="H127" s="147">
        <f>'Financial Data Input'!J271</f>
        <v>6703</v>
      </c>
      <c r="I127" s="147">
        <f>'Financial Data Input'!K271</f>
        <v>7603</v>
      </c>
      <c r="J127" s="147">
        <f>'Financial Data Input'!L271</f>
        <v>8503</v>
      </c>
      <c r="K127" s="147">
        <f>'Financial Data Input'!M271</f>
        <v>9403</v>
      </c>
      <c r="L127" s="147">
        <f>'Financial Data Input'!N271</f>
        <v>10303</v>
      </c>
      <c r="M127" s="147">
        <f>'Financial Data Input'!O271</f>
        <v>11203</v>
      </c>
    </row>
    <row r="128" spans="1:13">
      <c r="A128" s="94" t="s">
        <v>189</v>
      </c>
      <c r="B128" s="147">
        <f>'Financial Data Input'!D272</f>
        <v>650</v>
      </c>
      <c r="C128" s="147">
        <f>'Financial Data Input'!E272</f>
        <v>1525</v>
      </c>
      <c r="D128" s="147">
        <f>'Financial Data Input'!F272</f>
        <v>2785</v>
      </c>
      <c r="E128" s="147">
        <f>'Financial Data Input'!G272</f>
        <v>3645</v>
      </c>
      <c r="F128" s="147">
        <f>'Financial Data Input'!H272</f>
        <v>4845</v>
      </c>
      <c r="G128" s="147">
        <f>'Financial Data Input'!I272</f>
        <v>4845</v>
      </c>
      <c r="H128" s="147">
        <f>'Financial Data Input'!J272</f>
        <v>4845</v>
      </c>
      <c r="I128" s="147">
        <f>'Financial Data Input'!K272</f>
        <v>4845</v>
      </c>
      <c r="J128" s="147">
        <f>'Financial Data Input'!L272</f>
        <v>4845</v>
      </c>
      <c r="K128" s="147">
        <f>'Financial Data Input'!M272</f>
        <v>4845</v>
      </c>
      <c r="L128" s="147">
        <f>'Financial Data Input'!N272</f>
        <v>4845</v>
      </c>
      <c r="M128" s="147">
        <f>'Financial Data Input'!O272</f>
        <v>4845</v>
      </c>
    </row>
    <row r="129" spans="1:15">
      <c r="A129" s="94" t="s">
        <v>231</v>
      </c>
      <c r="B129" s="147">
        <f>'Financial Data Input'!D273</f>
        <v>650</v>
      </c>
      <c r="C129" s="147">
        <f>'Financial Data Input'!E273</f>
        <v>1525</v>
      </c>
      <c r="D129" s="147">
        <f>'Financial Data Input'!F273</f>
        <v>2785</v>
      </c>
      <c r="E129" s="147">
        <f>'Financial Data Input'!G273</f>
        <v>3645</v>
      </c>
      <c r="F129" s="147">
        <f>'Financial Data Input'!H273</f>
        <v>4845</v>
      </c>
      <c r="G129" s="147">
        <f>'Financial Data Input'!I273</f>
        <v>5500</v>
      </c>
      <c r="H129" s="147">
        <f>'Financial Data Input'!J273</f>
        <v>6200</v>
      </c>
      <c r="I129" s="147">
        <f>'Financial Data Input'!K273</f>
        <v>6800</v>
      </c>
      <c r="J129" s="147">
        <f>'Financial Data Input'!L273</f>
        <v>7000</v>
      </c>
      <c r="K129" s="147">
        <f>'Financial Data Input'!M273</f>
        <v>8000</v>
      </c>
      <c r="L129" s="147">
        <f>'Financial Data Input'!N273</f>
        <v>8500</v>
      </c>
      <c r="M129" s="147">
        <f>'Financial Data Input'!O273</f>
        <v>9500</v>
      </c>
    </row>
    <row r="131" spans="1:15">
      <c r="A131" t="str">
        <f>'Financial Data Input'!A275</f>
        <v>Sponsorship Funding</v>
      </c>
      <c r="B131" s="146">
        <f t="shared" ref="B131:M131" si="21">B126</f>
        <v>41851</v>
      </c>
      <c r="C131" s="146">
        <f t="shared" si="21"/>
        <v>41882</v>
      </c>
      <c r="D131" s="146">
        <f t="shared" si="21"/>
        <v>41912</v>
      </c>
      <c r="E131" s="146">
        <f t="shared" si="21"/>
        <v>41943</v>
      </c>
      <c r="F131" s="146">
        <f t="shared" si="21"/>
        <v>41973</v>
      </c>
      <c r="G131" s="146">
        <f t="shared" si="21"/>
        <v>42004</v>
      </c>
      <c r="H131" s="146">
        <f t="shared" si="21"/>
        <v>42035</v>
      </c>
      <c r="I131" s="146">
        <f t="shared" si="21"/>
        <v>42063</v>
      </c>
      <c r="J131" s="146">
        <f t="shared" si="21"/>
        <v>42094</v>
      </c>
      <c r="K131" s="146">
        <f t="shared" si="21"/>
        <v>42124</v>
      </c>
      <c r="L131" s="146">
        <f t="shared" si="21"/>
        <v>42155</v>
      </c>
      <c r="M131" s="146">
        <f t="shared" si="21"/>
        <v>42185</v>
      </c>
    </row>
    <row r="132" spans="1:15">
      <c r="A132" s="94" t="s">
        <v>146</v>
      </c>
      <c r="B132" s="147">
        <f>'Financial Data Input'!D277</f>
        <v>200</v>
      </c>
      <c r="C132" s="147">
        <f>'Financial Data Input'!E277</f>
        <v>400</v>
      </c>
      <c r="D132" s="147">
        <f>'Financial Data Input'!F277</f>
        <v>600</v>
      </c>
      <c r="E132" s="147">
        <f>'Financial Data Input'!G277</f>
        <v>800</v>
      </c>
      <c r="F132" s="147">
        <f>'Financial Data Input'!H277</f>
        <v>1000</v>
      </c>
      <c r="G132" s="147">
        <f>'Financial Data Input'!I277</f>
        <v>1200</v>
      </c>
      <c r="H132" s="147">
        <f>'Financial Data Input'!J277</f>
        <v>1400</v>
      </c>
      <c r="I132" s="147">
        <f>'Financial Data Input'!K277</f>
        <v>1600</v>
      </c>
      <c r="J132" s="147">
        <f>'Financial Data Input'!L277</f>
        <v>1800</v>
      </c>
      <c r="K132" s="147">
        <f>'Financial Data Input'!M277</f>
        <v>2000</v>
      </c>
      <c r="L132" s="147">
        <f>'Financial Data Input'!N277</f>
        <v>2200</v>
      </c>
      <c r="M132" s="147">
        <f>'Financial Data Input'!O277</f>
        <v>2400</v>
      </c>
    </row>
    <row r="133" spans="1:15">
      <c r="A133" s="94" t="s">
        <v>189</v>
      </c>
      <c r="B133" s="147">
        <f>'Financial Data Input'!D278</f>
        <v>200</v>
      </c>
      <c r="C133" s="147">
        <f>'Financial Data Input'!E278</f>
        <v>355</v>
      </c>
      <c r="D133" s="147">
        <f>'Financial Data Input'!F278</f>
        <v>535</v>
      </c>
      <c r="E133" s="147">
        <f>'Financial Data Input'!G278</f>
        <v>720</v>
      </c>
      <c r="F133" s="147">
        <f>'Financial Data Input'!H278</f>
        <v>970</v>
      </c>
      <c r="G133" s="147">
        <f>'Financial Data Input'!I278</f>
        <v>970</v>
      </c>
      <c r="H133" s="147">
        <f>'Financial Data Input'!J278</f>
        <v>970</v>
      </c>
      <c r="I133" s="147">
        <f>'Financial Data Input'!K278</f>
        <v>970</v>
      </c>
      <c r="J133" s="147">
        <f>'Financial Data Input'!L278</f>
        <v>970</v>
      </c>
      <c r="K133" s="147">
        <f>'Financial Data Input'!M278</f>
        <v>970</v>
      </c>
      <c r="L133" s="147">
        <f>'Financial Data Input'!N278</f>
        <v>970</v>
      </c>
      <c r="M133" s="147">
        <f>'Financial Data Input'!O278</f>
        <v>970</v>
      </c>
    </row>
    <row r="134" spans="1:15">
      <c r="A134" s="94" t="s">
        <v>231</v>
      </c>
      <c r="B134" s="147">
        <f>'Financial Data Input'!D279</f>
        <v>200</v>
      </c>
      <c r="C134" s="147">
        <f>'Financial Data Input'!E279</f>
        <v>355</v>
      </c>
      <c r="D134" s="147">
        <f>'Financial Data Input'!F279</f>
        <v>535</v>
      </c>
      <c r="E134" s="147">
        <f>'Financial Data Input'!G279</f>
        <v>720</v>
      </c>
      <c r="F134" s="147">
        <f>'Financial Data Input'!H279</f>
        <v>970</v>
      </c>
      <c r="G134" s="147">
        <f>'Financial Data Input'!I279</f>
        <v>1300</v>
      </c>
      <c r="H134" s="147">
        <f>'Financial Data Input'!J279</f>
        <v>1450</v>
      </c>
      <c r="I134" s="147">
        <f>'Financial Data Input'!K279</f>
        <v>1680</v>
      </c>
      <c r="J134" s="147">
        <f>'Financial Data Input'!L279</f>
        <v>1890</v>
      </c>
      <c r="K134" s="147">
        <f>'Financial Data Input'!M279</f>
        <v>2200</v>
      </c>
      <c r="L134" s="147">
        <f>'Financial Data Input'!N279</f>
        <v>2400</v>
      </c>
      <c r="M134" s="147">
        <f>'Financial Data Input'!O279</f>
        <v>2800</v>
      </c>
    </row>
    <row r="136" spans="1:15">
      <c r="B136" s="146">
        <f t="shared" ref="B136:M136" si="22">B4</f>
        <v>41851</v>
      </c>
      <c r="C136" s="146">
        <f t="shared" si="22"/>
        <v>41882</v>
      </c>
      <c r="D136" s="146">
        <f t="shared" si="22"/>
        <v>41912</v>
      </c>
      <c r="E136" s="146">
        <f t="shared" si="22"/>
        <v>41943</v>
      </c>
      <c r="F136" s="146">
        <f t="shared" si="22"/>
        <v>41973</v>
      </c>
      <c r="G136" s="146">
        <f t="shared" si="22"/>
        <v>42004</v>
      </c>
      <c r="H136" s="146">
        <f t="shared" si="22"/>
        <v>42035</v>
      </c>
      <c r="I136" s="146">
        <f t="shared" si="22"/>
        <v>42063</v>
      </c>
      <c r="J136" s="146">
        <f t="shared" si="22"/>
        <v>42094</v>
      </c>
      <c r="K136" s="146">
        <f t="shared" si="22"/>
        <v>42124</v>
      </c>
      <c r="L136" s="146">
        <f t="shared" si="22"/>
        <v>42155</v>
      </c>
      <c r="M136" s="146">
        <f t="shared" si="22"/>
        <v>42185</v>
      </c>
    </row>
    <row r="137" spans="1:15" hidden="1">
      <c r="A137" t="str">
        <f>'Financial Data Input'!A184</f>
        <v>Actual Month End Cash Position</v>
      </c>
      <c r="B137">
        <f>'Financial Data Input'!D184</f>
        <v>1130</v>
      </c>
      <c r="C137">
        <f>'Financial Data Input'!E184</f>
        <v>1160</v>
      </c>
      <c r="D137">
        <f>'Financial Data Input'!F184</f>
        <v>1010</v>
      </c>
      <c r="E137">
        <f>'Financial Data Input'!G184</f>
        <v>1180</v>
      </c>
      <c r="F137">
        <f>'Financial Data Input'!H184</f>
        <v>1120</v>
      </c>
      <c r="G137">
        <f>'Financial Data Input'!I184</f>
        <v>0</v>
      </c>
      <c r="H137">
        <f>'Financial Data Input'!J184</f>
        <v>0</v>
      </c>
      <c r="I137">
        <f>'Financial Data Input'!K184</f>
        <v>0</v>
      </c>
      <c r="J137">
        <f>'Financial Data Input'!L184</f>
        <v>0</v>
      </c>
      <c r="K137">
        <f>'Financial Data Input'!M184</f>
        <v>0</v>
      </c>
      <c r="L137">
        <f>'Financial Data Input'!N184</f>
        <v>0</v>
      </c>
      <c r="M137">
        <f>'Financial Data Input'!O184</f>
        <v>0</v>
      </c>
    </row>
    <row r="138" spans="1:15" hidden="1">
      <c r="A138" t="str">
        <f>'Financial Data Input'!A185</f>
        <v>Short Term Cash Requirement</v>
      </c>
      <c r="B138">
        <f>'Financial Data Input'!D185</f>
        <v>120</v>
      </c>
      <c r="C138">
        <f>'Financial Data Input'!E185</f>
        <v>120</v>
      </c>
      <c r="D138">
        <f>'Financial Data Input'!F185</f>
        <v>120</v>
      </c>
      <c r="E138">
        <f>'Financial Data Input'!G185</f>
        <v>120</v>
      </c>
      <c r="F138">
        <f>'Financial Data Input'!H185</f>
        <v>120</v>
      </c>
      <c r="G138">
        <f>'Financial Data Input'!I185</f>
        <v>0</v>
      </c>
      <c r="H138">
        <f>'Financial Data Input'!J185</f>
        <v>0</v>
      </c>
      <c r="I138">
        <f>'Financial Data Input'!K185</f>
        <v>0</v>
      </c>
      <c r="J138">
        <f>'Financial Data Input'!L185</f>
        <v>0</v>
      </c>
      <c r="K138">
        <f>'Financial Data Input'!M185</f>
        <v>0</v>
      </c>
      <c r="L138">
        <f>'Financial Data Input'!N185</f>
        <v>0</v>
      </c>
      <c r="M138">
        <f>'Financial Data Input'!O185</f>
        <v>0</v>
      </c>
    </row>
    <row r="139" spans="1:15">
      <c r="A139" t="str">
        <f>'Financial Data Input'!A186</f>
        <v>Cash Reserves/(Shortfall)</v>
      </c>
      <c r="B139" s="147">
        <f>'Financial Data Input'!D186</f>
        <v>1010</v>
      </c>
      <c r="C139" s="147">
        <f>'Financial Data Input'!E186</f>
        <v>1040</v>
      </c>
      <c r="D139" s="147">
        <f>'Financial Data Input'!F186</f>
        <v>890</v>
      </c>
      <c r="E139" s="147">
        <f>'Financial Data Input'!G186</f>
        <v>1060</v>
      </c>
      <c r="F139" s="147">
        <f>'Financial Data Input'!H186</f>
        <v>1000</v>
      </c>
      <c r="G139" s="147">
        <f>'Financial Data Input'!I186</f>
        <v>0</v>
      </c>
      <c r="H139" s="147">
        <f>'Financial Data Input'!J186</f>
        <v>0</v>
      </c>
      <c r="I139" s="147">
        <f>'Financial Data Input'!K186</f>
        <v>0</v>
      </c>
      <c r="J139" s="147">
        <f>'Financial Data Input'!L186</f>
        <v>0</v>
      </c>
      <c r="K139" s="147">
        <f>'Financial Data Input'!M186</f>
        <v>0</v>
      </c>
      <c r="L139" s="147">
        <f>'Financial Data Input'!N186</f>
        <v>0</v>
      </c>
      <c r="M139" s="147">
        <f>'Financial Data Input'!O186</f>
        <v>0</v>
      </c>
    </row>
    <row r="141" spans="1:15">
      <c r="B141" s="146">
        <f>B136</f>
        <v>41851</v>
      </c>
      <c r="C141" s="146">
        <f t="shared" ref="C141:M141" si="23">C136</f>
        <v>41882</v>
      </c>
      <c r="D141" s="146">
        <f t="shared" si="23"/>
        <v>41912</v>
      </c>
      <c r="E141" s="146">
        <f t="shared" si="23"/>
        <v>41943</v>
      </c>
      <c r="F141" s="146">
        <f t="shared" si="23"/>
        <v>41973</v>
      </c>
      <c r="G141" s="146">
        <f t="shared" si="23"/>
        <v>42004</v>
      </c>
      <c r="H141" s="146">
        <f t="shared" si="23"/>
        <v>42035</v>
      </c>
      <c r="I141" s="146">
        <f t="shared" si="23"/>
        <v>42063</v>
      </c>
      <c r="J141" s="146">
        <f t="shared" si="23"/>
        <v>42094</v>
      </c>
      <c r="K141" s="146">
        <f t="shared" si="23"/>
        <v>42124</v>
      </c>
      <c r="L141" s="146">
        <f t="shared" si="23"/>
        <v>42155</v>
      </c>
      <c r="M141" s="146">
        <f t="shared" si="23"/>
        <v>42185</v>
      </c>
    </row>
    <row r="142" spans="1:15">
      <c r="A142" s="94" t="s">
        <v>38</v>
      </c>
      <c r="B142" s="147">
        <f>'Financial Data Input'!D77</f>
        <v>1045</v>
      </c>
      <c r="C142" s="147">
        <f>'Financial Data Input'!E77</f>
        <v>1301</v>
      </c>
      <c r="D142" s="147">
        <f>'Financial Data Input'!F77</f>
        <v>1392</v>
      </c>
      <c r="E142" s="147">
        <f>'Financial Data Input'!G77</f>
        <v>1542</v>
      </c>
      <c r="F142" s="147">
        <f>'Financial Data Input'!H77</f>
        <v>253</v>
      </c>
      <c r="G142" s="147">
        <f>'Financial Data Input'!I77</f>
        <v>0</v>
      </c>
      <c r="H142" s="147">
        <f>'Financial Data Input'!J77</f>
        <v>0</v>
      </c>
      <c r="I142" s="147">
        <f>'Financial Data Input'!K77</f>
        <v>0</v>
      </c>
      <c r="J142" s="147">
        <f>'Financial Data Input'!L77</f>
        <v>0</v>
      </c>
      <c r="K142" s="147">
        <f>'Financial Data Input'!M77</f>
        <v>0</v>
      </c>
      <c r="L142" s="147">
        <f>'Financial Data Input'!N77</f>
        <v>0</v>
      </c>
      <c r="M142" s="147">
        <f>'Financial Data Input'!O77</f>
        <v>0</v>
      </c>
      <c r="N142" s="147"/>
      <c r="O142" s="147"/>
    </row>
    <row r="143" spans="1:15">
      <c r="A143" s="94" t="s">
        <v>37</v>
      </c>
      <c r="B143" s="147">
        <f>'Financial Data Input'!D97</f>
        <v>1200</v>
      </c>
      <c r="C143" s="147">
        <f>'Financial Data Input'!E97</f>
        <v>1466</v>
      </c>
      <c r="D143" s="147">
        <f>'Financial Data Input'!F97</f>
        <v>1557</v>
      </c>
      <c r="E143" s="147">
        <f>'Financial Data Input'!G97</f>
        <v>1707</v>
      </c>
      <c r="F143" s="147">
        <f>'Financial Data Input'!H97</f>
        <v>568</v>
      </c>
      <c r="G143" s="147">
        <f>'Financial Data Input'!I97</f>
        <v>0</v>
      </c>
      <c r="H143" s="147">
        <f>'Financial Data Input'!J97</f>
        <v>0</v>
      </c>
      <c r="I143" s="147">
        <f>'Financial Data Input'!K97</f>
        <v>0</v>
      </c>
      <c r="J143" s="147">
        <f>'Financial Data Input'!L97</f>
        <v>0</v>
      </c>
      <c r="K143" s="147">
        <f>'Financial Data Input'!M97</f>
        <v>0</v>
      </c>
      <c r="L143" s="147">
        <f>'Financial Data Input'!N97</f>
        <v>0</v>
      </c>
      <c r="M143" s="147">
        <f>'Financial Data Input'!O97</f>
        <v>0</v>
      </c>
      <c r="N143" s="147"/>
      <c r="O143" s="147"/>
    </row>
    <row r="146" spans="1:13">
      <c r="A146" s="94" t="s">
        <v>208</v>
      </c>
      <c r="B146" s="302" t="str">
        <f>'Financial Report '!B194</f>
        <v>Division 1</v>
      </c>
      <c r="C146" s="314" t="str">
        <f>'Financial Report '!B200</f>
        <v>Division 2</v>
      </c>
      <c r="D146" s="314" t="str">
        <f>'Financial Report '!B206</f>
        <v>Division 3</v>
      </c>
      <c r="E146" s="314" t="str">
        <f>'Financial Report '!B212</f>
        <v>Division 4</v>
      </c>
      <c r="F146" s="314" t="str">
        <f>'Financial Report '!B218</f>
        <v>Division 5</v>
      </c>
    </row>
    <row r="147" spans="1:13">
      <c r="A147" s="94" t="s">
        <v>7</v>
      </c>
      <c r="B147" s="147">
        <f>'Financial Report '!H198</f>
        <v>32</v>
      </c>
      <c r="C147" s="147">
        <f>'Financial Report '!H204</f>
        <v>38</v>
      </c>
      <c r="D147" s="147">
        <f>'Financial Report '!H210</f>
        <v>32</v>
      </c>
      <c r="E147" s="147">
        <f>'Financial Report '!H216</f>
        <v>32</v>
      </c>
      <c r="F147" s="147">
        <f>'Financial Report '!H222</f>
        <v>32</v>
      </c>
    </row>
    <row r="148" spans="1:13">
      <c r="A148" s="94" t="s">
        <v>182</v>
      </c>
      <c r="B148" s="147">
        <f ca="1">'Financial Report '!I198</f>
        <v>6</v>
      </c>
      <c r="C148" s="147">
        <f ca="1">'Financial Report '!I204</f>
        <v>4</v>
      </c>
      <c r="D148" s="147">
        <f ca="1">'Financial Report '!I210</f>
        <v>8</v>
      </c>
      <c r="E148" s="147">
        <f ca="1">'Financial Report '!I216</f>
        <v>10</v>
      </c>
      <c r="F148" s="147">
        <f ca="1">'Financial Report '!I222</f>
        <v>30</v>
      </c>
    </row>
    <row r="149" spans="1:13">
      <c r="A149" s="94" t="s">
        <v>20</v>
      </c>
      <c r="B149" s="147">
        <f ca="1">'Financial Report '!J198</f>
        <v>26</v>
      </c>
      <c r="C149" s="147">
        <f ca="1">'Financial Report '!J204</f>
        <v>34</v>
      </c>
      <c r="D149" s="147">
        <f ca="1">'Financial Report '!J210</f>
        <v>24</v>
      </c>
      <c r="E149" s="147">
        <f ca="1">'Financial Report '!J216</f>
        <v>22</v>
      </c>
      <c r="F149" s="147">
        <f ca="1">'Financial Report '!J222</f>
        <v>2</v>
      </c>
    </row>
    <row r="151" spans="1:13">
      <c r="A151" s="94" t="s">
        <v>209</v>
      </c>
      <c r="B151" s="314" t="str">
        <f>B146</f>
        <v>Division 1</v>
      </c>
      <c r="C151" s="314" t="str">
        <f t="shared" ref="C151:F151" si="24">C146</f>
        <v>Division 2</v>
      </c>
      <c r="D151" s="314" t="str">
        <f t="shared" si="24"/>
        <v>Division 3</v>
      </c>
      <c r="E151" s="314" t="str">
        <f t="shared" si="24"/>
        <v>Division 4</v>
      </c>
      <c r="F151" s="314" t="str">
        <f t="shared" si="24"/>
        <v>Division 5</v>
      </c>
    </row>
    <row r="152" spans="1:13">
      <c r="A152" s="94" t="s">
        <v>7</v>
      </c>
      <c r="B152" s="147">
        <f>'Financial Report '!D198</f>
        <v>5</v>
      </c>
      <c r="C152" s="147">
        <f>'Financial Report '!D204</f>
        <v>5</v>
      </c>
      <c r="D152" s="147">
        <f>'Financial Report '!D210</f>
        <v>5</v>
      </c>
      <c r="E152" s="147">
        <f>'Financial Report '!D216</f>
        <v>5</v>
      </c>
      <c r="F152" s="147">
        <f>'Financial Report '!D222</f>
        <v>5</v>
      </c>
    </row>
    <row r="153" spans="1:13">
      <c r="A153" s="94" t="s">
        <v>182</v>
      </c>
      <c r="B153" s="147">
        <f>'Financial Report '!E198</f>
        <v>3</v>
      </c>
      <c r="C153" s="147">
        <f>'Financial Report '!E204</f>
        <v>2</v>
      </c>
      <c r="D153" s="147">
        <f>'Financial Report '!E210</f>
        <v>4</v>
      </c>
      <c r="E153" s="147">
        <f>'Financial Report '!E216</f>
        <v>5</v>
      </c>
      <c r="F153" s="147">
        <f>'Financial Report '!E222</f>
        <v>15</v>
      </c>
    </row>
    <row r="154" spans="1:13">
      <c r="A154" s="94" t="s">
        <v>20</v>
      </c>
      <c r="B154" s="147">
        <f>'Financial Report '!F198</f>
        <v>2</v>
      </c>
      <c r="C154" s="147">
        <f>'Financial Report '!F204</f>
        <v>3</v>
      </c>
      <c r="D154" s="147">
        <f>'Financial Report '!F210</f>
        <v>1</v>
      </c>
      <c r="E154" s="147">
        <f>'Financial Report '!F216</f>
        <v>0</v>
      </c>
      <c r="F154" s="147">
        <f>'Financial Report '!F222</f>
        <v>-10</v>
      </c>
    </row>
    <row r="158" spans="1:13">
      <c r="B158" s="146">
        <f>B4</f>
        <v>41851</v>
      </c>
      <c r="C158" s="146">
        <f t="shared" ref="C158:M158" si="25">C4</f>
        <v>41882</v>
      </c>
      <c r="D158" s="146">
        <f t="shared" si="25"/>
        <v>41912</v>
      </c>
      <c r="E158" s="146">
        <f t="shared" si="25"/>
        <v>41943</v>
      </c>
      <c r="F158" s="146">
        <f t="shared" si="25"/>
        <v>41973</v>
      </c>
      <c r="G158" s="146">
        <f t="shared" si="25"/>
        <v>42004</v>
      </c>
      <c r="H158" s="146">
        <f t="shared" si="25"/>
        <v>42035</v>
      </c>
      <c r="I158" s="146">
        <f t="shared" si="25"/>
        <v>42063</v>
      </c>
      <c r="J158" s="146">
        <f t="shared" si="25"/>
        <v>42094</v>
      </c>
      <c r="K158" s="146">
        <f t="shared" si="25"/>
        <v>42124</v>
      </c>
      <c r="L158" s="146">
        <f t="shared" si="25"/>
        <v>42155</v>
      </c>
      <c r="M158" s="146">
        <f t="shared" si="25"/>
        <v>42185</v>
      </c>
    </row>
    <row r="159" spans="1:13">
      <c r="A159" t="s">
        <v>38</v>
      </c>
      <c r="B159">
        <f>'Financial Data Input'!D77</f>
        <v>1045</v>
      </c>
      <c r="C159">
        <f>'Financial Data Input'!E77</f>
        <v>1301</v>
      </c>
      <c r="D159">
        <f>'Financial Data Input'!F77</f>
        <v>1392</v>
      </c>
      <c r="E159">
        <f>'Financial Data Input'!G77</f>
        <v>1542</v>
      </c>
      <c r="F159">
        <f>'Financial Data Input'!H77</f>
        <v>253</v>
      </c>
      <c r="G159">
        <f>'Financial Data Input'!I77</f>
        <v>0</v>
      </c>
      <c r="H159">
        <f>'Financial Data Input'!J77</f>
        <v>0</v>
      </c>
      <c r="I159">
        <f>'Financial Data Input'!K77</f>
        <v>0</v>
      </c>
      <c r="J159">
        <f>'Financial Data Input'!L77</f>
        <v>0</v>
      </c>
      <c r="K159">
        <f>'Financial Data Input'!M77</f>
        <v>0</v>
      </c>
      <c r="L159">
        <f>'Financial Data Input'!N77</f>
        <v>0</v>
      </c>
      <c r="M159">
        <f>'Financial Data Input'!O77</f>
        <v>0</v>
      </c>
    </row>
    <row r="160" spans="1:13">
      <c r="A160" t="s">
        <v>211</v>
      </c>
      <c r="B160">
        <f>'Financial Data Input'!D56</f>
        <v>20</v>
      </c>
      <c r="C160">
        <f>'Financial Data Input'!E56</f>
        <v>20</v>
      </c>
      <c r="D160">
        <f>'Financial Data Input'!F56</f>
        <v>20</v>
      </c>
      <c r="E160">
        <f>'Financial Data Input'!G56</f>
        <v>20</v>
      </c>
      <c r="F160">
        <f>'Financial Data Input'!H56</f>
        <v>20</v>
      </c>
      <c r="G160">
        <f>'Financial Data Input'!I56</f>
        <v>0</v>
      </c>
      <c r="H160">
        <f>'Financial Data Input'!J56</f>
        <v>0</v>
      </c>
      <c r="I160">
        <f>'Financial Data Input'!K56</f>
        <v>0</v>
      </c>
      <c r="J160">
        <f>'Financial Data Input'!L56</f>
        <v>0</v>
      </c>
      <c r="K160">
        <f>'Financial Data Input'!M56</f>
        <v>0</v>
      </c>
      <c r="L160">
        <f>'Financial Data Input'!N56</f>
        <v>0</v>
      </c>
      <c r="M160">
        <f>'Financial Data Input'!O56</f>
        <v>0</v>
      </c>
    </row>
    <row r="161" spans="1:13">
      <c r="A161" t="s">
        <v>212</v>
      </c>
      <c r="B161">
        <f>B159-B160</f>
        <v>1025</v>
      </c>
      <c r="C161">
        <f t="shared" ref="C161:M161" si="26">C159-C160</f>
        <v>1281</v>
      </c>
      <c r="D161">
        <f t="shared" si="26"/>
        <v>1372</v>
      </c>
      <c r="E161">
        <f t="shared" si="26"/>
        <v>1522</v>
      </c>
      <c r="F161">
        <f t="shared" si="26"/>
        <v>233</v>
      </c>
      <c r="G161">
        <f t="shared" si="26"/>
        <v>0</v>
      </c>
      <c r="H161">
        <f t="shared" si="26"/>
        <v>0</v>
      </c>
      <c r="I161">
        <f t="shared" si="26"/>
        <v>0</v>
      </c>
      <c r="J161">
        <f t="shared" si="26"/>
        <v>0</v>
      </c>
      <c r="K161">
        <f t="shared" si="26"/>
        <v>0</v>
      </c>
      <c r="L161">
        <f t="shared" si="26"/>
        <v>0</v>
      </c>
      <c r="M161">
        <f t="shared" si="26"/>
        <v>0</v>
      </c>
    </row>
    <row r="162" spans="1:13">
      <c r="A162" t="s">
        <v>85</v>
      </c>
      <c r="B162">
        <f>'Financial Data Input'!D48</f>
        <v>1309</v>
      </c>
      <c r="C162">
        <f>'Financial Data Input'!E48</f>
        <v>1029</v>
      </c>
      <c r="D162">
        <f>'Financial Data Input'!F48</f>
        <v>1634</v>
      </c>
      <c r="E162">
        <f>'Financial Data Input'!G48</f>
        <v>1199</v>
      </c>
      <c r="F162">
        <f>'Financial Data Input'!H48</f>
        <v>2899</v>
      </c>
      <c r="G162">
        <f>'Financial Data Input'!I48</f>
        <v>0</v>
      </c>
      <c r="H162">
        <f>'Financial Data Input'!J48</f>
        <v>0</v>
      </c>
      <c r="I162">
        <f>'Financial Data Input'!K48</f>
        <v>0</v>
      </c>
      <c r="J162">
        <f>'Financial Data Input'!L48</f>
        <v>0</v>
      </c>
      <c r="K162">
        <f>'Financial Data Input'!M48</f>
        <v>0</v>
      </c>
      <c r="L162">
        <f>'Financial Data Input'!N48</f>
        <v>0</v>
      </c>
      <c r="M162">
        <f>'Financial Data Input'!O48</f>
        <v>0</v>
      </c>
    </row>
    <row r="163" spans="1:13">
      <c r="A163" t="s">
        <v>213</v>
      </c>
      <c r="B163">
        <f>'Financial Data Input'!D30</f>
        <v>200</v>
      </c>
      <c r="C163">
        <f>'Financial Data Input'!E30</f>
        <v>150</v>
      </c>
      <c r="D163">
        <f>'Financial Data Input'!F30</f>
        <v>175</v>
      </c>
      <c r="E163">
        <f>'Financial Data Input'!G30</f>
        <v>220</v>
      </c>
      <c r="F163">
        <f>'Financial Data Input'!H30</f>
        <v>190</v>
      </c>
      <c r="G163">
        <f>'Financial Data Input'!I30</f>
        <v>0</v>
      </c>
      <c r="H163">
        <f>'Financial Data Input'!J30</f>
        <v>0</v>
      </c>
      <c r="I163">
        <f>'Financial Data Input'!K30</f>
        <v>0</v>
      </c>
      <c r="J163">
        <f>'Financial Data Input'!L30</f>
        <v>0</v>
      </c>
      <c r="K163">
        <f>'Financial Data Input'!M30</f>
        <v>0</v>
      </c>
      <c r="L163">
        <f>'Financial Data Input'!N30</f>
        <v>0</v>
      </c>
      <c r="M163">
        <f>'Financial Data Input'!O30</f>
        <v>0</v>
      </c>
    </row>
    <row r="164" spans="1:13">
      <c r="A164" t="s">
        <v>214</v>
      </c>
      <c r="B164">
        <f>B162-B163</f>
        <v>1109</v>
      </c>
      <c r="C164">
        <f t="shared" ref="C164:M164" si="27">C162-C163</f>
        <v>879</v>
      </c>
      <c r="D164">
        <f t="shared" si="27"/>
        <v>1459</v>
      </c>
      <c r="E164">
        <f t="shared" si="27"/>
        <v>979</v>
      </c>
      <c r="F164">
        <f t="shared" si="27"/>
        <v>2709</v>
      </c>
      <c r="G164">
        <f t="shared" si="27"/>
        <v>0</v>
      </c>
      <c r="H164">
        <f t="shared" si="27"/>
        <v>0</v>
      </c>
      <c r="I164">
        <f t="shared" si="27"/>
        <v>0</v>
      </c>
      <c r="J164">
        <f t="shared" si="27"/>
        <v>0</v>
      </c>
      <c r="K164">
        <f t="shared" si="27"/>
        <v>0</v>
      </c>
      <c r="L164">
        <f t="shared" si="27"/>
        <v>0</v>
      </c>
      <c r="M164">
        <f t="shared" si="27"/>
        <v>0</v>
      </c>
    </row>
    <row r="165" spans="1:13">
      <c r="A165" t="s">
        <v>215</v>
      </c>
      <c r="B165">
        <f>B164*12</f>
        <v>13308</v>
      </c>
      <c r="C165">
        <f t="shared" ref="C165:M165" si="28">C164*12</f>
        <v>10548</v>
      </c>
      <c r="D165">
        <f t="shared" si="28"/>
        <v>17508</v>
      </c>
      <c r="E165">
        <f t="shared" si="28"/>
        <v>11748</v>
      </c>
      <c r="F165">
        <f t="shared" si="28"/>
        <v>32508</v>
      </c>
      <c r="G165">
        <f t="shared" si="28"/>
        <v>0</v>
      </c>
      <c r="H165">
        <f t="shared" si="28"/>
        <v>0</v>
      </c>
      <c r="I165">
        <f t="shared" si="28"/>
        <v>0</v>
      </c>
      <c r="J165">
        <f t="shared" si="28"/>
        <v>0</v>
      </c>
      <c r="K165">
        <f t="shared" si="28"/>
        <v>0</v>
      </c>
      <c r="L165">
        <f t="shared" si="28"/>
        <v>0</v>
      </c>
      <c r="M165">
        <f t="shared" si="28"/>
        <v>0</v>
      </c>
    </row>
    <row r="166" spans="1:13">
      <c r="A166" t="s">
        <v>216</v>
      </c>
      <c r="B166">
        <f>B165/365</f>
        <v>36.460273972602742</v>
      </c>
      <c r="C166">
        <f t="shared" ref="C166:M166" si="29">C165/365</f>
        <v>28.898630136986302</v>
      </c>
      <c r="D166">
        <f t="shared" si="29"/>
        <v>47.967123287671235</v>
      </c>
      <c r="E166">
        <f t="shared" si="29"/>
        <v>32.186301369863017</v>
      </c>
      <c r="F166">
        <f t="shared" si="29"/>
        <v>89.063013698630144</v>
      </c>
      <c r="G166">
        <f t="shared" si="29"/>
        <v>0</v>
      </c>
      <c r="H166">
        <f t="shared" si="29"/>
        <v>0</v>
      </c>
      <c r="I166">
        <f t="shared" si="29"/>
        <v>0</v>
      </c>
      <c r="J166">
        <f t="shared" si="29"/>
        <v>0</v>
      </c>
      <c r="K166">
        <f t="shared" si="29"/>
        <v>0</v>
      </c>
      <c r="L166">
        <f t="shared" si="29"/>
        <v>0</v>
      </c>
      <c r="M166">
        <f t="shared" si="29"/>
        <v>0</v>
      </c>
    </row>
    <row r="167" spans="1:13">
      <c r="A167" t="s">
        <v>217</v>
      </c>
      <c r="B167" s="317">
        <f t="shared" ref="B167:E167" si="30">IF(B161&lt;&gt;0,(B161/B166),0)</f>
        <v>28.11278929966937</v>
      </c>
      <c r="C167" s="317">
        <f t="shared" si="30"/>
        <v>44.327360637087601</v>
      </c>
      <c r="D167" s="317">
        <f t="shared" si="30"/>
        <v>28.60292437742746</v>
      </c>
      <c r="E167" s="317">
        <f t="shared" si="30"/>
        <v>47.287197820905682</v>
      </c>
      <c r="F167" s="317">
        <f>IF(F161&lt;&gt;0,(F161/F166),0)</f>
        <v>2.6161252614740986</v>
      </c>
      <c r="G167" s="317">
        <f t="shared" ref="G167:M167" si="31">IF(G161&lt;&gt;0,(G161/G166),0)</f>
        <v>0</v>
      </c>
      <c r="H167" s="317">
        <f t="shared" si="31"/>
        <v>0</v>
      </c>
      <c r="I167" s="317">
        <f t="shared" si="31"/>
        <v>0</v>
      </c>
      <c r="J167" s="317">
        <f t="shared" si="31"/>
        <v>0</v>
      </c>
      <c r="K167" s="317">
        <f t="shared" si="31"/>
        <v>0</v>
      </c>
      <c r="L167" s="317">
        <f t="shared" si="31"/>
        <v>0</v>
      </c>
      <c r="M167" s="317">
        <f t="shared" si="31"/>
        <v>0</v>
      </c>
    </row>
    <row r="169" spans="1:13">
      <c r="B169" s="146">
        <f>B158</f>
        <v>41851</v>
      </c>
      <c r="C169" s="146">
        <f t="shared" ref="C169:M169" si="32">C158</f>
        <v>41882</v>
      </c>
      <c r="D169" s="146">
        <f t="shared" si="32"/>
        <v>41912</v>
      </c>
      <c r="E169" s="146">
        <f t="shared" si="32"/>
        <v>41943</v>
      </c>
      <c r="F169" s="146">
        <f t="shared" si="32"/>
        <v>41973</v>
      </c>
      <c r="G169" s="146">
        <f t="shared" si="32"/>
        <v>42004</v>
      </c>
      <c r="H169" s="146">
        <f t="shared" si="32"/>
        <v>42035</v>
      </c>
      <c r="I169" s="146">
        <f t="shared" si="32"/>
        <v>42063</v>
      </c>
      <c r="J169" s="146">
        <f t="shared" si="32"/>
        <v>42094</v>
      </c>
      <c r="K169" s="146">
        <f t="shared" si="32"/>
        <v>42124</v>
      </c>
      <c r="L169" s="146">
        <f t="shared" si="32"/>
        <v>42155</v>
      </c>
      <c r="M169" s="146">
        <f t="shared" si="32"/>
        <v>42185</v>
      </c>
    </row>
    <row r="170" spans="1:13">
      <c r="A170" s="94" t="s">
        <v>229</v>
      </c>
      <c r="B170" s="317">
        <f>B167</f>
        <v>28.11278929966937</v>
      </c>
      <c r="C170" s="317">
        <f t="shared" ref="C170:M170" si="33">C167</f>
        <v>44.327360637087601</v>
      </c>
      <c r="D170" s="317">
        <f t="shared" si="33"/>
        <v>28.60292437742746</v>
      </c>
      <c r="E170" s="317">
        <f t="shared" si="33"/>
        <v>47.287197820905682</v>
      </c>
      <c r="F170" s="317">
        <f t="shared" si="33"/>
        <v>2.6161252614740986</v>
      </c>
      <c r="G170" s="317">
        <f t="shared" si="33"/>
        <v>0</v>
      </c>
      <c r="H170" s="317">
        <f t="shared" si="33"/>
        <v>0</v>
      </c>
      <c r="I170" s="317">
        <f t="shared" si="33"/>
        <v>0</v>
      </c>
      <c r="J170" s="317">
        <f t="shared" si="33"/>
        <v>0</v>
      </c>
      <c r="K170" s="317">
        <f t="shared" si="33"/>
        <v>0</v>
      </c>
      <c r="L170" s="317">
        <f t="shared" si="33"/>
        <v>0</v>
      </c>
      <c r="M170" s="317">
        <f t="shared" si="33"/>
        <v>0</v>
      </c>
    </row>
    <row r="171" spans="1:13">
      <c r="A171" s="94" t="s">
        <v>226</v>
      </c>
      <c r="B171">
        <f>'Financial Data Input'!D201</f>
        <v>90</v>
      </c>
      <c r="C171">
        <f>B171</f>
        <v>90</v>
      </c>
      <c r="D171">
        <f t="shared" ref="D171:M171" si="34">C171</f>
        <v>90</v>
      </c>
      <c r="E171">
        <f t="shared" si="34"/>
        <v>90</v>
      </c>
      <c r="F171">
        <f t="shared" si="34"/>
        <v>90</v>
      </c>
      <c r="G171">
        <f t="shared" si="34"/>
        <v>90</v>
      </c>
      <c r="H171">
        <f t="shared" si="34"/>
        <v>90</v>
      </c>
      <c r="I171">
        <f t="shared" si="34"/>
        <v>90</v>
      </c>
      <c r="J171">
        <f t="shared" si="34"/>
        <v>90</v>
      </c>
      <c r="K171">
        <f t="shared" si="34"/>
        <v>90</v>
      </c>
      <c r="L171">
        <f t="shared" si="34"/>
        <v>90</v>
      </c>
      <c r="M171">
        <f t="shared" si="34"/>
        <v>90</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Ext_x0020_Published xmlns="7f0ef5c1-2b76-4a6b-b54e-5a86df685599"/>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A5A3430416684E89B9DCFDEC90CFCC" ma:contentTypeVersion="3" ma:contentTypeDescription="Create a new document." ma:contentTypeScope="" ma:versionID="6a3a289930f5cf6ad120b36bc0c25ac8">
  <xsd:schema xmlns:xsd="http://www.w3.org/2001/XMLSchema" xmlns:xs="http://www.w3.org/2001/XMLSchema" xmlns:p="http://schemas.microsoft.com/office/2006/metadata/properties" xmlns:ns3="7f0ef5c1-2b76-4a6b-b54e-5a86df685599" targetNamespace="http://schemas.microsoft.com/office/2006/metadata/properties" ma:root="true" ma:fieldsID="ca6279314edcf64a1b4a345f0fab27ee" ns3:_="">
    <xsd:import namespace="7f0ef5c1-2b76-4a6b-b54e-5a86df685599"/>
    <xsd:element name="properties">
      <xsd:complexType>
        <xsd:sequence>
          <xsd:element name="documentManagement">
            <xsd:complexType>
              <xsd:all>
                <xsd:element ref="ns3:Ext_x0020_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ef5c1-2b76-4a6b-b54e-5a86df685599" elementFormDefault="qualified">
    <xsd:import namespace="http://schemas.microsoft.com/office/2006/documentManagement/types"/>
    <xsd:import namespace="http://schemas.microsoft.com/office/infopath/2007/PartnerControls"/>
    <xsd:element name="Ext_x0020_Published" ma:index="9" nillable="true" ma:displayName="Externally Published" ma:description="IF this document is also published external to Horace, select where it's published to.  This will identify where else the document needs to be updated." ma:internalName="Ext_x0020_Published">
      <xsd:complexType>
        <xsd:complexContent>
          <xsd:extension base="dms:MultiChoice">
            <xsd:sequence>
              <xsd:element name="Value" maxOccurs="unbounded" minOccurs="0" nillable="true">
                <xsd:simpleType>
                  <xsd:restriction base="dms:Choice">
                    <xsd:enumeration value="HK Group Intranet"/>
                    <xsd:enumeration value="HK Website"/>
                    <xsd:enumeration value="KS Website"/>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81E7D2-C3AF-4BF0-87BE-563FE7005F09}">
  <ds:schemaRefs>
    <ds:schemaRef ds:uri="http://schemas.microsoft.com/sharepoint/v3/contenttype/forms"/>
  </ds:schemaRefs>
</ds:datastoreItem>
</file>

<file path=customXml/itemProps2.xml><?xml version="1.0" encoding="utf-8"?>
<ds:datastoreItem xmlns:ds="http://schemas.openxmlformats.org/officeDocument/2006/customXml" ds:itemID="{230BC72E-784A-435F-BAA6-9B4E792D6385}">
  <ds:schemaRefs>
    <ds:schemaRef ds:uri="http://purl.org/dc/dcmitype/"/>
    <ds:schemaRef ds:uri="http://purl.org/dc/elements/1.1/"/>
    <ds:schemaRef ds:uri="7f0ef5c1-2b76-4a6b-b54e-5a86df685599"/>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06ABDC2-EC8E-4D48-8025-A3F3EF274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0ef5c1-2b76-4a6b-b54e-5a86df685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Introduction</vt:lpstr>
      <vt:lpstr>Instructions</vt:lpstr>
      <vt:lpstr>Summary Report</vt:lpstr>
      <vt:lpstr>Financial Report </vt:lpstr>
      <vt:lpstr>Non Financial Statistics Report</vt:lpstr>
      <vt:lpstr>Financial Data Input</vt:lpstr>
      <vt:lpstr>Graph Data and Workings</vt:lpstr>
      <vt:lpstr>'Financial Report '!Print_Area</vt:lpstr>
      <vt:lpstr>Instructions!Print_Area</vt:lpstr>
      <vt:lpstr>'Non Financial Statistics Report'!Print_Area</vt:lpstr>
      <vt:lpstr>'Summary Report'!Print_Area</vt:lpstr>
      <vt:lpstr>'Financial Data Input'!Print_Titles</vt:lpstr>
      <vt:lpstr>'Financial Report '!Print_Titles</vt:lpstr>
      <vt:lpstr>'Non Financial Statistics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KPI Report Template</dc:title>
  <dc:creator>Melanie Jenkin</dc:creator>
  <cp:keywords>KPI Report Template</cp:keywords>
  <cp:lastModifiedBy>anthonyh</cp:lastModifiedBy>
  <cp:lastPrinted>2014-07-28T23:48:50Z</cp:lastPrinted>
  <dcterms:created xsi:type="dcterms:W3CDTF">2011-04-05T00:00:13Z</dcterms:created>
  <dcterms:modified xsi:type="dcterms:W3CDTF">2014-08-26T20:57:34Z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0x010100E8A5A3430416684E89B9DCFDEC90CFCC</vt:lpwstr>
  </property>
</Properties>
</file>