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https://sportnzgroup-my.sharepoint.com/personal/paula_ryan_sportnz_org_nz/Documents/Desktop/"/>
    </mc:Choice>
  </mc:AlternateContent>
  <xr:revisionPtr revIDLastSave="2" documentId="8_{6EDBF5F5-1F66-4BD3-85F1-BF3FA8048840}" xr6:coauthVersionLast="47" xr6:coauthVersionMax="47" xr10:uidLastSave="{DD18961E-A224-44F3-9F09-40327FBF71A2}"/>
  <bookViews>
    <workbookView xWindow="0" yWindow="0" windowWidth="28800" windowHeight="15285"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expenses'!$A$1:$E$30</definedName>
    <definedName name="_xlnm.Print_Area" localSheetId="5">'Gifts and benefits'!$A$1:$F$44</definedName>
    <definedName name="_xlnm.Print_Area" localSheetId="0">'Guidance for agencies'!$A$1:$A$58</definedName>
    <definedName name="_xlnm.Print_Area" localSheetId="3">Hospitality!$A$1:$E$28</definedName>
    <definedName name="_xlnm.Print_Area" localSheetId="1">'Summary and sign-off'!$A$1:$F$23</definedName>
    <definedName name="_xlnm.Print_Area" localSheetId="2">Travel!$A$1:$E$226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3" l="1"/>
  <c r="B147" i="1"/>
  <c r="B23" i="1"/>
  <c r="B26" i="1"/>
  <c r="B156" i="1"/>
  <c r="B152" i="1"/>
  <c r="B173" i="1"/>
  <c r="B212" i="1"/>
  <c r="B175" i="1"/>
  <c r="B171" i="1"/>
  <c r="B167" i="1"/>
  <c r="B211" i="1"/>
  <c r="B162" i="1"/>
  <c r="B164" i="1"/>
  <c r="B160" i="1"/>
  <c r="B154" i="1"/>
  <c r="B209" i="1"/>
  <c r="B210" i="1"/>
  <c r="B149" i="1" l="1"/>
  <c r="B158" i="1"/>
  <c r="B145" i="1"/>
  <c r="B208" i="1"/>
  <c r="B143" i="1"/>
  <c r="B141" i="1"/>
  <c r="B139" i="1"/>
  <c r="B206" i="1"/>
  <c r="B205" i="1"/>
  <c r="B134" i="1"/>
  <c r="B21" i="1" l="1"/>
  <c r="B81" i="1" l="1"/>
  <c r="B60" i="1"/>
  <c r="B201" i="1"/>
  <c r="B203" i="1"/>
  <c r="B129" i="1"/>
  <c r="B126" i="1"/>
  <c r="B199" i="1"/>
  <c r="B122" i="1"/>
  <c r="B119" i="1"/>
  <c r="B136" i="1"/>
  <c r="B128" i="1"/>
  <c r="B117" i="1"/>
  <c r="B115" i="1"/>
  <c r="B197" i="1"/>
  <c r="B111" i="1"/>
  <c r="B107" i="1"/>
  <c r="B18" i="1"/>
  <c r="B113" i="1"/>
  <c r="B132" i="1"/>
  <c r="B124" i="1"/>
  <c r="B121" i="1"/>
  <c r="B105" i="1"/>
  <c r="B103" i="1"/>
  <c r="B194" i="1"/>
  <c r="B99" i="1"/>
  <c r="B190" i="1"/>
  <c r="B101" i="1"/>
  <c r="B97" i="1"/>
  <c r="B193" i="1"/>
  <c r="B94" i="1"/>
  <c r="B90" i="1"/>
  <c r="B92" i="1"/>
  <c r="B191" i="1"/>
  <c r="B192" i="1"/>
  <c r="B88" i="1"/>
  <c r="B74" i="1"/>
  <c r="B66" i="1"/>
  <c r="B70" i="1"/>
  <c r="B25" i="1"/>
  <c r="B86" i="1"/>
  <c r="B83" i="1"/>
  <c r="B76" i="1"/>
  <c r="B63" i="1"/>
  <c r="B57" i="1"/>
  <c r="B79" i="1"/>
  <c r="B72" i="1"/>
  <c r="B65" i="1"/>
  <c r="B44" i="1" l="1"/>
  <c r="B14" i="1"/>
  <c r="B62" i="1"/>
  <c r="B52" i="1"/>
  <c r="B59" i="1"/>
  <c r="B47" i="1"/>
  <c r="B16" i="1" l="1"/>
  <c r="B46" i="1"/>
  <c r="B185" i="1"/>
  <c r="B184" i="1"/>
  <c r="B42" i="1"/>
  <c r="B38" i="1"/>
  <c r="B35" i="1"/>
  <c r="B37" i="1"/>
  <c r="B34" i="1"/>
  <c r="D33" i="4"/>
  <c r="C24" i="3"/>
  <c r="C21" i="2"/>
  <c r="E60" i="13"/>
  <c r="C60" i="13"/>
  <c r="C35" i="4"/>
  <c r="F13" i="13" s="1"/>
  <c r="C34" i="4"/>
  <c r="F12" i="13" s="1"/>
  <c r="B60" i="13"/>
  <c r="B59" i="13"/>
  <c r="D59" i="13"/>
  <c r="B58" i="13"/>
  <c r="D58" i="13"/>
  <c r="D57" i="13"/>
  <c r="D56" i="13"/>
  <c r="D55" i="13"/>
  <c r="B2" i="4"/>
  <c r="B3" i="4"/>
  <c r="B2" i="3"/>
  <c r="B3" i="3"/>
  <c r="B2" i="2"/>
  <c r="B3" i="2"/>
  <c r="B2" i="1"/>
  <c r="B3" i="1"/>
  <c r="B5" i="4"/>
  <c r="B4" i="4"/>
  <c r="B5" i="3"/>
  <c r="B4" i="3"/>
  <c r="B5" i="2"/>
  <c r="B4" i="2"/>
  <c r="B5" i="1"/>
  <c r="B4" i="1"/>
  <c r="B24" i="3"/>
  <c r="B13" i="13" s="1"/>
  <c r="B21" i="2"/>
  <c r="B12" i="13" s="1"/>
  <c r="F59" i="13" l="1"/>
  <c r="D24" i="3" s="1"/>
  <c r="F58" i="13"/>
  <c r="D21" i="2" s="1"/>
  <c r="B30" i="1"/>
  <c r="B15" i="13" s="1"/>
  <c r="B56" i="13"/>
  <c r="F56" i="13" s="1"/>
  <c r="D178" i="1" s="1"/>
  <c r="B178" i="1"/>
  <c r="B55" i="13"/>
  <c r="F55" i="13" s="1"/>
  <c r="D30" i="1" s="1"/>
  <c r="C178" i="1"/>
  <c r="C30" i="1"/>
  <c r="C215" i="1"/>
  <c r="B215" i="1"/>
  <c r="B17" i="13" s="1"/>
  <c r="B57" i="13"/>
  <c r="F57" i="13" s="1"/>
  <c r="D215" i="1" s="1"/>
  <c r="C33" i="4"/>
  <c r="F11" i="13" s="1"/>
  <c r="F60" i="13"/>
  <c r="E33" i="4" s="1"/>
  <c r="B16" i="13" l="1"/>
  <c r="B11" i="13" s="1"/>
  <c r="B2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Paula Ryan</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33"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B56" authorId="1" shapeId="0" xr:uid="{800B14C4-30E4-415C-8C0F-05CAA47F14DF}">
      <text>
        <r>
          <rPr>
            <b/>
            <sz val="9"/>
            <color indexed="81"/>
            <rFont val="Tahoma"/>
            <family val="2"/>
          </rPr>
          <t>Paula Ryan:</t>
        </r>
        <r>
          <rPr>
            <sz val="9"/>
            <color indexed="81"/>
            <rFont val="Tahoma"/>
            <family val="2"/>
          </rPr>
          <t xml:space="preserve">
Originally fly to QT for Winter Games; changed to Wgtn/Akld flights</t>
        </r>
      </text>
    </comment>
    <comment ref="A181"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<sst xmlns="http://schemas.openxmlformats.org/spreadsheetml/2006/main" count="873" uniqueCount="441">
  <si>
    <t>Hospitality</t>
  </si>
  <si>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</si>
  <si>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</si>
  <si>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</si>
  <si>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</si>
  <si>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</si>
  <si>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</si>
  <si>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</si>
  <si>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</si>
  <si>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</si>
  <si>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</si>
  <si>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</si>
  <si>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</si>
  <si>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</si>
  <si>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</si>
  <si>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</si>
  <si>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</si>
  <si>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</si>
  <si>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</si>
  <si>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</si>
  <si>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</si>
  <si>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</si>
  <si>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</si>
  <si>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</si>
  <si>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</si>
  <si>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</si>
  <si>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</si>
  <si>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</si>
  <si>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</si>
  <si>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</si>
  <si>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</si>
  <si>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</si>
  <si>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</si>
  <si>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</si>
  <si>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</si>
  <si>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</si>
  <si>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</si>
  <si>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</si>
  <si>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</si>
  <si>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</si>
  <si>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</si>
  <si>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</si>
  <si>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</si>
  <si>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</si>
  <si>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</si>
  <si>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</si>
  <si>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</si>
  <si>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</si>
  <si>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</si>
  <si>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</si>
  <si>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</si>
  <si>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</si>
  <si>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</si>
  <si>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Sport NZ</t>
  </si>
  <si>
    <t>Secretary or Chief Executive**</t>
  </si>
  <si>
    <t>Raelene Castle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</si>
  <si>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</si>
  <si>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</si>
  <si>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</si>
  <si>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</si>
  <si>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</si>
  <si>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</si>
  <si>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</si>
  <si>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</si>
  <si>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</si>
  <si>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</si>
  <si>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</si>
  <si>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</si>
  <si>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</si>
  <si>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GST exc</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</si>
  <si>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</si>
  <si>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</si>
  <si>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</si>
  <si>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</si>
  <si>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</si>
  <si>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</si>
  <si>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</si>
  <si>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</si>
  <si>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</si>
  <si>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</si>
  <si>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</si>
  <si>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</si>
  <si>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</si>
  <si>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</si>
  <si>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</si>
  <si>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</si>
  <si>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</si>
  <si>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</si>
  <si>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</si>
  <si>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</si>
  <si>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</si>
  <si>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</si>
  <si>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</si>
  <si>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</si>
  <si>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</si>
  <si>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</si>
  <si>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</si>
  <si>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</si>
  <si>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</si>
  <si>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</si>
  <si>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</si>
  <si>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</si>
  <si>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</si>
  <si>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</si>
  <si>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</si>
  <si>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</si>
  <si>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</si>
  <si>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</si>
  <si>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</si>
  <si>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</si>
  <si>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</si>
  <si>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</si>
  <si>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</si>
  <si>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</si>
  <si>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</si>
  <si>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</si>
  <si>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</si>
  <si>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</si>
  <si>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</si>
  <si>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</si>
  <si>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</si>
  <si>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</si>
  <si>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</si>
  <si>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</si>
  <si>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</si>
  <si>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</si>
  <si>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</si>
  <si>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26-30 July 2023</t>
  </si>
  <si>
    <t>Guest speaker at NSC23; International Sports Network meetings</t>
  </si>
  <si>
    <t>Airfare - paid by conference</t>
  </si>
  <si>
    <t>Melbourne</t>
  </si>
  <si>
    <t>Accommodation - stayed privately</t>
  </si>
  <si>
    <t>taxis/ubers x8</t>
  </si>
  <si>
    <t>Akld / Melbourne</t>
  </si>
  <si>
    <t>13-17 Aug 2023</t>
  </si>
  <si>
    <t>Co-hosting Mana WahineTrade Mission to Melbourne</t>
  </si>
  <si>
    <t>Airfare: Akld/Melb/Syd/Wgtn</t>
  </si>
  <si>
    <t>Accommodation (3 nights)</t>
  </si>
  <si>
    <t>Taxis x3</t>
  </si>
  <si>
    <t>Meals</t>
  </si>
  <si>
    <t>17 -21 Aug 2023</t>
  </si>
  <si>
    <t>Attending Fifa WWC23 Finals; stakeholder meetings</t>
  </si>
  <si>
    <t>Airfare Syd-Melb (1 way)</t>
  </si>
  <si>
    <t>Sydney</t>
  </si>
  <si>
    <t>17-21 Aug 2023</t>
  </si>
  <si>
    <t xml:space="preserve">Accommodation </t>
  </si>
  <si>
    <t>Taxi x6</t>
  </si>
  <si>
    <t>Syd and Wellington</t>
  </si>
  <si>
    <t>17-21/03/2024</t>
  </si>
  <si>
    <t>Attending SportNXT conference</t>
  </si>
  <si>
    <t>Airfare</t>
  </si>
  <si>
    <t>Ubers / taxis x7</t>
  </si>
  <si>
    <t>Akld/Melbourne</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</si>
  <si>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</si>
  <si>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</si>
  <si>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</si>
  <si>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4-5 July 2023</t>
  </si>
  <si>
    <t xml:space="preserve">Working from Wgtn office, internal meetings; all day starategy workshop; </t>
  </si>
  <si>
    <t>airfare</t>
  </si>
  <si>
    <t>Akld/Wgtn rtn</t>
  </si>
  <si>
    <t>ubers/taxi</t>
  </si>
  <si>
    <t>Akld and Wgtn</t>
  </si>
  <si>
    <t>10-11 July 2023</t>
  </si>
  <si>
    <t>Meeting with Minister; FWWC CE Forum; working from Wgtn office</t>
  </si>
  <si>
    <t>Akld/Wgtn rtm</t>
  </si>
  <si>
    <t>12/13 July 2023</t>
  </si>
  <si>
    <t>2-day HPSNZ Board meeting</t>
  </si>
  <si>
    <t>Mileage</t>
  </si>
  <si>
    <t>Akld/Cambridge rtn</t>
  </si>
  <si>
    <t>30-31/07/2023</t>
  </si>
  <si>
    <t>Attending Fifa FWWC and meetings with local stakeholders/partners</t>
  </si>
  <si>
    <t>WLG/DUD/WLG</t>
  </si>
  <si>
    <t>Accommodation</t>
  </si>
  <si>
    <t>Dunedin</t>
  </si>
  <si>
    <t>Uber/taxisx2</t>
  </si>
  <si>
    <t>2 -10 Aug 2023</t>
  </si>
  <si>
    <t>Strategy workshop; Tennis NZ brd mtg; partner and staff meetings; grad interviews</t>
  </si>
  <si>
    <t>2-10 Aug 2023</t>
  </si>
  <si>
    <t>Ubers x4</t>
  </si>
  <si>
    <t>Akld &amp; Wgtn</t>
  </si>
  <si>
    <t>23-27 Aug 2023</t>
  </si>
  <si>
    <t>Working from Akld office; internal meetings and partner meeting</t>
  </si>
  <si>
    <t>Wgtn/Akld rtn</t>
  </si>
  <si>
    <t>Ubers</t>
  </si>
  <si>
    <t>Wellington &amp; Akld</t>
  </si>
  <si>
    <t>30-31 Aug 2023</t>
  </si>
  <si>
    <t>Annual RST visit to Sport Whanganui - postponed from 2022</t>
  </si>
  <si>
    <t>Rental car (2 days)</t>
  </si>
  <si>
    <t>Wellington</t>
  </si>
  <si>
    <t>Whanganui</t>
  </si>
  <si>
    <t>Uber to collect rental car</t>
  </si>
  <si>
    <t>31 Aug- 11 Sept</t>
  </si>
  <si>
    <t xml:space="preserve">Working from Akld offices - Intenal mtgs; mtgs with Partners; speaking at Disability Hui; </t>
  </si>
  <si>
    <t xml:space="preserve">Airfare </t>
  </si>
  <si>
    <t>31 Aug - 11 Sept</t>
  </si>
  <si>
    <t>Wgtn &amp; Akld</t>
  </si>
  <si>
    <t>12-18 Sept</t>
  </si>
  <si>
    <t>HPSNZ Board mtg (2 days); working from Akld office</t>
  </si>
  <si>
    <t xml:space="preserve">HPSNZ Board mtg (2 days); working from Akld office </t>
  </si>
  <si>
    <t>uber</t>
  </si>
  <si>
    <t>Wgtn and Akld</t>
  </si>
  <si>
    <t>21-28 Sept</t>
  </si>
  <si>
    <t>Speaking engagment Akld; PM Schols ceremony; working from Akld</t>
  </si>
  <si>
    <t>speaking engagment Akld; PM Schols ceremony; working from Akld</t>
  </si>
  <si>
    <t>ubers / taxi</t>
  </si>
  <si>
    <t>Wgtn</t>
  </si>
  <si>
    <t>1-4 Oct 2023</t>
  </si>
  <si>
    <t xml:space="preserve">Working from HPSNZ; PM Schols ceremony, Cambridge; </t>
  </si>
  <si>
    <t xml:space="preserve">1-3 Oct </t>
  </si>
  <si>
    <t>ubers</t>
  </si>
  <si>
    <t>Speaking at PM Schols ceremony, Cambridge</t>
  </si>
  <si>
    <t>mileage</t>
  </si>
  <si>
    <t>5-9 Oct 2023</t>
  </si>
  <si>
    <t>Working from HPSNZ</t>
  </si>
  <si>
    <t>ubers x4</t>
  </si>
  <si>
    <t>19-20 Oct 2023</t>
  </si>
  <si>
    <t>Working from Wgtn office; Sport NZ board meeting</t>
  </si>
  <si>
    <t>accommodation</t>
  </si>
  <si>
    <t>Strategy development workshop</t>
  </si>
  <si>
    <t>parking</t>
  </si>
  <si>
    <t xml:space="preserve">Akld </t>
  </si>
  <si>
    <t>31 Oct - 2 Nov 2023</t>
  </si>
  <si>
    <t>Internal meetings; leadership progam welcome; speaking at Rec conference</t>
  </si>
  <si>
    <t>Accommodation (2 nights)</t>
  </si>
  <si>
    <t>Ubers x3</t>
  </si>
  <si>
    <t>Attending Sport Hawkes Bay board meeting and Wairoa Cyclone Recovery function</t>
  </si>
  <si>
    <t>Akld/Gisborne rtn</t>
  </si>
  <si>
    <t>Airport parking</t>
  </si>
  <si>
    <t>Auckland</t>
  </si>
  <si>
    <t>16-17 Nov 2023</t>
  </si>
  <si>
    <t>Sport NZ Board meeting, Wgtn and hosting VIP guest at Sport NZ office</t>
  </si>
  <si>
    <t>Accommodation (x1)</t>
  </si>
  <si>
    <t>Ubers, taxi</t>
  </si>
  <si>
    <t>20-22 Nov 2023</t>
  </si>
  <si>
    <t>Working from Wgtn office; attending workshops</t>
  </si>
  <si>
    <t>Akld/Wgn rtn</t>
  </si>
  <si>
    <t>accommodation (x2)</t>
  </si>
  <si>
    <t>Ubers X2</t>
  </si>
  <si>
    <t>Wellington/Akld</t>
  </si>
  <si>
    <t>Meeting with new Minister at Parliament</t>
  </si>
  <si>
    <t>5-8 Dec 2023</t>
  </si>
  <si>
    <t>Working from Wgtn office; Strategy workshop; 2-day board mtg offsite</t>
  </si>
  <si>
    <t>Wgtn / Akld rtn</t>
  </si>
  <si>
    <t>accommodation x2</t>
  </si>
  <si>
    <t>12/13 Dec 2023</t>
  </si>
  <si>
    <t>Meeting with Minister, All Staff hui and internal meetings</t>
  </si>
  <si>
    <t>Ubersx6</t>
  </si>
  <si>
    <t>15-17 Jan 2024</t>
  </si>
  <si>
    <t>Working from Wgtn office; meetings with Treasury, MCH, Minister</t>
  </si>
  <si>
    <t>accommodation (x2 nights)</t>
  </si>
  <si>
    <t>ubers / taxis x2</t>
  </si>
  <si>
    <t>23 -25 Jan 2024</t>
  </si>
  <si>
    <t>Working from Wgtn office - internal meetings</t>
  </si>
  <si>
    <t>wellington</t>
  </si>
  <si>
    <t>ubers x3</t>
  </si>
  <si>
    <t>30/31 Jan 2024 (changed to 29 Jan and back)</t>
  </si>
  <si>
    <t>Working from Wgtn office, meeting with Minister</t>
  </si>
  <si>
    <t>Working from Wgtn office; meeting with Minister</t>
  </si>
  <si>
    <t>accommodation, 1 night</t>
  </si>
  <si>
    <t>uber&amp;Taxi</t>
  </si>
  <si>
    <t>7/8 Feb 2024</t>
  </si>
  <si>
    <t>11/12 Feb 2024</t>
  </si>
  <si>
    <t>airfare (1-way)</t>
  </si>
  <si>
    <t>Wgtn to Akld</t>
  </si>
  <si>
    <t>19/20 Feb 2024</t>
  </si>
  <si>
    <t xml:space="preserve">Working from Wgtn office </t>
  </si>
  <si>
    <t xml:space="preserve">Akld/Wgtn </t>
  </si>
  <si>
    <t>Working from Wgtn office; meeting with Minister at Parliament</t>
  </si>
  <si>
    <t>Parking Akld airport</t>
  </si>
  <si>
    <t>4-6 March 2024</t>
  </si>
  <si>
    <t>Working from Wgtn office</t>
  </si>
  <si>
    <t>airfare (2 x 1-way fares; changed 1/3 to 7/3)</t>
  </si>
  <si>
    <t>accommodation (2 nights)</t>
  </si>
  <si>
    <t>26/27 March 2024</t>
  </si>
  <si>
    <t>Working from Wgtn office; speaking at Treasury</t>
  </si>
  <si>
    <t>parking Akld airport - overnight</t>
  </si>
  <si>
    <t>Akld</t>
  </si>
  <si>
    <t>Wgtn / Akld</t>
  </si>
  <si>
    <t>3-5 April 2024</t>
  </si>
  <si>
    <t>Working from Wgtn Office; meeting with Minister</t>
  </si>
  <si>
    <t>aifare</t>
  </si>
  <si>
    <t>Ubers x2</t>
  </si>
  <si>
    <t>Akld /Wgtn</t>
  </si>
  <si>
    <t>23/24 April 2024</t>
  </si>
  <si>
    <t>Sport NZ board meeting - 2 days</t>
  </si>
  <si>
    <t>ubers x5</t>
  </si>
  <si>
    <t>Presenting to NPCC re their LTP; mtg with Sport Taranaki</t>
  </si>
  <si>
    <t>Akld/N Plymouth rtn</t>
  </si>
  <si>
    <t>Parking Akld Airport</t>
  </si>
  <si>
    <t>6-12 May 2024</t>
  </si>
  <si>
    <t>Working from Wgtn office; All staff hui; mtg with Minister</t>
  </si>
  <si>
    <t xml:space="preserve">Akld/Wgtn/P Nth/Akld </t>
  </si>
  <si>
    <t>6-10 May 2024</t>
  </si>
  <si>
    <t>accommodation (x5)</t>
  </si>
  <si>
    <t>11/12 May 2024</t>
  </si>
  <si>
    <t>Guest speaker at partner org fundraiser event</t>
  </si>
  <si>
    <t>rental car (1 way)</t>
  </si>
  <si>
    <t>Wgtn/P Nth</t>
  </si>
  <si>
    <t>Palmerston North</t>
  </si>
  <si>
    <t>14/15 May 2024</t>
  </si>
  <si>
    <t>Working from Wgtn office; internal meetings; mtg w Minister</t>
  </si>
  <si>
    <t>23/24 May 2024</t>
  </si>
  <si>
    <t>Working from Wgtn office, internal meetings; attending stakeholder function w Minister</t>
  </si>
  <si>
    <t xml:space="preserve">Working from Wgtn office, internal meetings; attending stakeholder function w Minister </t>
  </si>
  <si>
    <t>Parking, Akld airport</t>
  </si>
  <si>
    <t>Attending funeral (former staff member)</t>
  </si>
  <si>
    <t>10-13 June 2024</t>
  </si>
  <si>
    <t>Working from Wgtn office, internal meetings, board meeting</t>
  </si>
  <si>
    <t>Akld/ Wgtn rtn</t>
  </si>
  <si>
    <t>accommodation x3</t>
  </si>
  <si>
    <t>17-18 June 2024</t>
  </si>
  <si>
    <t>Estimates Hearing; working from Wellington; internal meetings</t>
  </si>
  <si>
    <t>wgtn and Akld</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</si>
  <si>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</si>
  <si>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</si>
  <si>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</si>
  <si>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</si>
  <si>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Parking in Akld for stakeholder meeting in CBD</t>
  </si>
  <si>
    <t>Parking</t>
  </si>
  <si>
    <t>Meetings in Akld (Mt Eden &amp; CBD) attending opening of FWWC Eden Park</t>
  </si>
  <si>
    <t>Uberx3</t>
  </si>
  <si>
    <t>24/25 July 2023</t>
  </si>
  <si>
    <t>Annual Connections Conference and Sector Awards</t>
  </si>
  <si>
    <t>Uberx5</t>
  </si>
  <si>
    <t>Speaking at Equalise event</t>
  </si>
  <si>
    <t>Uber</t>
  </si>
  <si>
    <t>Attending FIFA WWC QF</t>
  </si>
  <si>
    <t>Taxi Wgtn CBD for speaking engagement</t>
  </si>
  <si>
    <t>Taxi Wgtn office to Wgtn home at 8.49pm</t>
  </si>
  <si>
    <t>Attend launch of Partner initiative</t>
  </si>
  <si>
    <t>Uber x2</t>
  </si>
  <si>
    <t>Meeting at British High Commission</t>
  </si>
  <si>
    <t>Offsite team meeting</t>
  </si>
  <si>
    <t>Attend meeting at Auckland Council</t>
  </si>
  <si>
    <t>Attend meeting at Parliament</t>
  </si>
  <si>
    <t>Meeting with Auckland Council</t>
  </si>
  <si>
    <t xml:space="preserve">Dinner meeting with NZOC </t>
  </si>
  <si>
    <t>Sport NZ Board meeting</t>
  </si>
  <si>
    <t>Halberg Awards - hosting and presenting</t>
  </si>
  <si>
    <t>Attending Akld Council breakfast forum</t>
  </si>
  <si>
    <t>T20 Cricket, Eden Park NZv Aus -guest of NZ Cricket</t>
  </si>
  <si>
    <t>Meeting with staff, Akld CBD</t>
  </si>
  <si>
    <t>Meeting with Akld Unlimited</t>
  </si>
  <si>
    <t>Meeting at Auckland Council</t>
  </si>
  <si>
    <t>Meeting with Board members, Akld CBD</t>
  </si>
  <si>
    <t>Meeting at Parliament (4 pax)</t>
  </si>
  <si>
    <t>Taxi</t>
  </si>
  <si>
    <t>Meeting with Nuku Ora</t>
  </si>
  <si>
    <t>Uberx2</t>
  </si>
  <si>
    <t xml:space="preserve">Speaking engagement </t>
  </si>
  <si>
    <t>23-26 June 2024</t>
  </si>
  <si>
    <t>Comections conference, 3 days</t>
  </si>
  <si>
    <t>Uber x6</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</si>
  <si>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</si>
  <si>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</si>
  <si>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</si>
  <si>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</si>
  <si>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</si>
  <si>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</si>
  <si>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</si>
  <si>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</si>
  <si>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</si>
  <si>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</si>
  <si>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</si>
  <si>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</si>
  <si>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</si>
  <si>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Hosting international colleagues for dinner meeting</t>
  </si>
  <si>
    <t>Dinner, 4 pax</t>
  </si>
  <si>
    <t>Meeting with new sector CEO</t>
  </si>
  <si>
    <t>Coffee, 2pax</t>
  </si>
  <si>
    <t>Meeting with NSO CEO</t>
  </si>
  <si>
    <t>Lunch mtg, 2 pax</t>
  </si>
  <si>
    <t>Meeting with Central Football Board</t>
  </si>
  <si>
    <t>Coffees, 5 pax</t>
  </si>
  <si>
    <t>Meeting with Canoe Racing NZ</t>
  </si>
  <si>
    <t>Breakfast, 2 pax</t>
  </si>
  <si>
    <t>Meeting with prospective Te Taumata board member</t>
  </si>
  <si>
    <t>Lunch, 4 pax</t>
  </si>
  <si>
    <t>Meeting with stakeholder, 2 pax</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</si>
  <si>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</si>
  <si>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</si>
  <si>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</si>
  <si>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</si>
  <si>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</si>
  <si>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</si>
  <si>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</si>
  <si>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</si>
  <si>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</si>
  <si>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</si>
  <si>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1 July 23 - 30 June 2024</t>
  </si>
  <si>
    <t>Phone &amp; data charges (@$38 + gst/month)</t>
  </si>
  <si>
    <t>Phone &amp; data</t>
  </si>
  <si>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</si>
  <si>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</si>
  <si>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</si>
  <si>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</si>
  <si>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</si>
  <si>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</si>
  <si>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</si>
  <si>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</si>
  <si>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</si>
  <si>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</si>
  <si>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</si>
  <si>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Guest of Fifa at Opening of WWC23</t>
  </si>
  <si>
    <t>Fifa</t>
  </si>
  <si>
    <t>Ticket to ABs v Wallabies, MCG</t>
  </si>
  <si>
    <t>Rugby Australia</t>
  </si>
  <si>
    <t>Ticket and hosting at NZ v Switzerland, FWWC, Dunedin</t>
  </si>
  <si>
    <t>Forsyth Barr Stadium Trust</t>
  </si>
  <si>
    <t>Ticket and hosting, QF, Fifa WWC</t>
  </si>
  <si>
    <t>Ticket and hosting SF1, Fifa WWC</t>
  </si>
  <si>
    <t>Ticket and hosting; Fifa WWC Final</t>
  </si>
  <si>
    <t>1-3 September 2023</t>
  </si>
  <si>
    <t>Attend Winter Games NZ &amp; hosted partner/sponsor events</t>
  </si>
  <si>
    <t>Winter Games NZ</t>
  </si>
  <si>
    <t>Ticket and hosting at ballet performance</t>
  </si>
  <si>
    <t>RNZB</t>
  </si>
  <si>
    <t>Ticket and hosting at all NZ matches, WXV1 series</t>
  </si>
  <si>
    <t>NZ Rugby</t>
  </si>
  <si>
    <t>Ticket and hosting NZ v Australia T20, Eden Park</t>
  </si>
  <si>
    <t>NZ Cricket</t>
  </si>
  <si>
    <t>Ticket and hosting World Athletics Continental Tour, Akld</t>
  </si>
  <si>
    <t>Athletics NZ</t>
  </si>
  <si>
    <t>17-21 March 2024</t>
  </si>
  <si>
    <t>SportNXT conference inc 4 nights accommodation</t>
  </si>
  <si>
    <t>Global Victoria</t>
  </si>
  <si>
    <t>Ticket &amp; hosting NZ v Eng to July rugby test, Eden Park</t>
  </si>
  <si>
    <t>Eden Park</t>
  </si>
  <si>
    <t>Ticket &amp; hosting Phoenix semi final, Wgtn</t>
  </si>
  <si>
    <t>Gibson Sheat</t>
  </si>
  <si>
    <t>Ticket &amp; hospitality Black Ferns v Australia, North Harbour</t>
  </si>
  <si>
    <t>Ticket to Mystics v Stars netball game</t>
  </si>
  <si>
    <t>Netball NZ</t>
  </si>
  <si>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</si>
  <si>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</si>
  <si>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</si>
  <si>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</si>
  <si>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</si>
  <si>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</si>
  <si>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GM Corporate Affairs</t>
  </si>
  <si>
    <t>Checked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</si>
</sst>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4"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8"/>
      <color theme="1"/>
      <name val="Arial"/>
      <family val="2"/>
    </font>
    <font>
      <b/>
      <sz val="10"/>
      <color rgb="FFFF0000"/>
      <name val="Arial"/>
      <family val="2"/>
    </font>
    <font>
      <sz val="10"/>
      <color rgb="FFFF0000"/>
      <name val="Arial"/>
    </font>
    <font>
      <b/>
      <sz val="9"/>
      <color indexed="81"/>
      <name val="Tahoma"/>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67">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7" fontId="15" fillId="10" borderId="3" xfId="0" applyNumberFormat="1" applyFont="1" applyFill="1" applyBorder="1" applyAlignment="1" applyProtection="1">
      <alignment horizontal="left" vertical="center"/>
      <protection locked="0"/>
    </xf>
    <xf numFmtId="0" fontId="0" fillId="10" borderId="0" xfId="0" applyFill="1" applyProtection="1">
      <protection locked="0"/>
    </xf>
    <xf numFmtId="0" fontId="39" fillId="0" borderId="0" xfId="0" applyFont="1" applyAlignment="1" applyProtection="1">
      <alignment wrapText="1"/>
      <protection locked="0"/>
    </xf>
    <xf numFmtId="167" fontId="15" fillId="10" borderId="3" xfId="0" applyNumberFormat="1" applyFont="1" applyFill="1" applyBorder="1" applyAlignment="1" applyProtection="1">
      <alignment horizontal="right" vertical="center"/>
      <protection locked="0"/>
    </xf>
    <xf numFmtId="164" fontId="15" fillId="0" borderId="4" xfId="0" applyNumberFormat="1" applyFont="1" applyBorder="1" applyAlignment="1" applyProtection="1">
      <alignment vertical="center" wrapText="1"/>
      <protection locked="0"/>
    </xf>
    <xf numFmtId="0" fontId="0" fillId="0" borderId="0" xfId="0" applyAlignment="1" applyProtection="1">
      <alignment vertical="center" wrapText="1"/>
      <protection locked="0"/>
    </xf>
    <xf numFmtId="0" fontId="15" fillId="0" borderId="0" xfId="0" applyFont="1" applyAlignment="1" applyProtection="1">
      <alignment wrapText="1"/>
      <protection locked="0"/>
    </xf>
    <xf numFmtId="0" fontId="40" fillId="0" borderId="0" xfId="0" applyFont="1" applyAlignment="1" applyProtection="1">
      <alignment wrapText="1"/>
      <protection locked="0"/>
    </xf>
    <xf numFmtId="164" fontId="41" fillId="0" borderId="4" xfId="0" applyNumberFormat="1" applyFont="1" applyBorder="1" applyAlignment="1" applyProtection="1">
      <alignment vertical="center" wrapText="1"/>
      <protection locked="0"/>
    </xf>
    <xf numFmtId="164" fontId="39" fillId="0" borderId="4" xfId="0" applyNumberFormat="1" applyFont="1" applyBorder="1" applyAlignment="1" applyProtection="1">
      <alignment vertical="center" wrapText="1"/>
      <protection locked="0"/>
    </xf>
    <xf numFmtId="164" fontId="42" fillId="0" borderId="4" xfId="0" applyNumberFormat="1" applyFont="1" applyBorder="1" applyAlignment="1" applyProtection="1">
      <alignment vertical="center" wrapText="1"/>
      <protection locked="0"/>
    </xf>
    <xf numFmtId="0" fontId="15" fillId="10" borderId="4" xfId="0" applyFont="1" applyFill="1" applyBorder="1" applyAlignment="1" applyProtection="1">
      <alignment vertical="center"/>
      <protection locked="0"/>
    </xf>
    <xf numFmtId="0" fontId="15" fillId="10" borderId="0" xfId="0" applyFont="1" applyFill="1" applyAlignment="1" applyProtection="1">
      <alignment vertical="center" wrapText="1"/>
      <protection locked="0"/>
    </xf>
    <xf numFmtId="0" fontId="15" fillId="10" borderId="0" xfId="0" applyFont="1" applyFill="1" applyProtection="1">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8" zoomScaleNormal="100" workbookViewId="0">
      <selection activeCell="A37" sqref="A37"/>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1</v>
      </c>
    </row>
    <row r="2" spans="1:2" ht="33" customHeight="1" x14ac:dyDescent="0.2">
      <c r="A2" s="103" t="s">
        <v>2</v>
      </c>
    </row>
    <row r="3" spans="1:2" ht="17.25" customHeight="1" x14ac:dyDescent="0.2"/>
    <row r="4" spans="1:2" ht="23.25" customHeight="1" x14ac:dyDescent="0.2">
      <c r="A4" s="129" t="s">
        <v>3</v>
      </c>
    </row>
    <row r="5" spans="1:2" ht="17.25" customHeight="1" x14ac:dyDescent="0.2"/>
    <row r="6" spans="1:2" ht="23.25" customHeight="1" x14ac:dyDescent="0.2">
      <c r="A6" s="42" t="s">
        <v>4</v>
      </c>
    </row>
    <row r="7" spans="1:2" ht="17.25" customHeight="1" x14ac:dyDescent="0.2">
      <c r="A7" s="43" t="s">
        <v>5</v>
      </c>
    </row>
    <row r="8" spans="1:2" ht="17.25" customHeight="1" x14ac:dyDescent="0.2">
      <c r="A8" s="43" t="s">
        <v>6</v>
      </c>
    </row>
    <row r="9" spans="1:2" ht="17.25" customHeight="1" x14ac:dyDescent="0.2">
      <c r="A9" s="43"/>
    </row>
    <row r="10" spans="1:2" ht="23.25" customHeight="1" x14ac:dyDescent="0.2">
      <c r="A10" s="42" t="s">
        <v>7</v>
      </c>
      <c r="B10" s="69" t="s">
        <v>8</v>
      </c>
    </row>
    <row r="11" spans="1:2" ht="17.25" customHeight="1" x14ac:dyDescent="0.2">
      <c r="A11" s="44" t="s">
        <v>9</v>
      </c>
    </row>
    <row r="12" spans="1:2" ht="17.25" customHeight="1" x14ac:dyDescent="0.2">
      <c r="A12" s="43" t="s">
        <v>10</v>
      </c>
    </row>
    <row r="13" spans="1:2" ht="17.25" customHeight="1" x14ac:dyDescent="0.2">
      <c r="A13" s="43" t="s">
        <v>11</v>
      </c>
    </row>
    <row r="14" spans="1:2" ht="17.25" customHeight="1" x14ac:dyDescent="0.2">
      <c r="A14" s="45" t="s">
        <v>12</v>
      </c>
    </row>
    <row r="15" spans="1:2" ht="17.25" customHeight="1" x14ac:dyDescent="0.2">
      <c r="A15" s="43" t="s">
        <v>13</v>
      </c>
    </row>
    <row r="16" spans="1:2" ht="17.25" customHeight="1" x14ac:dyDescent="0.2">
      <c r="A16" s="43"/>
    </row>
    <row r="17" spans="1:1" ht="23.25" customHeight="1" x14ac:dyDescent="0.2">
      <c r="A17" s="42" t="s">
        <v>14</v>
      </c>
    </row>
    <row r="18" spans="1:1" ht="17.25" customHeight="1" x14ac:dyDescent="0.2">
      <c r="A18" s="45" t="s">
        <v>15</v>
      </c>
    </row>
    <row r="19" spans="1:1" ht="17.25" customHeight="1" x14ac:dyDescent="0.2">
      <c r="A19" s="45" t="s">
        <v>16</v>
      </c>
    </row>
    <row r="20" spans="1:1" ht="17.25" customHeight="1" x14ac:dyDescent="0.2">
      <c r="A20" s="65" t="s">
        <v>17</v>
      </c>
    </row>
    <row r="21" spans="1:1" ht="17.25" customHeight="1" x14ac:dyDescent="0.2">
      <c r="A21" s="46"/>
    </row>
    <row r="22" spans="1:1" ht="23.25" customHeight="1" x14ac:dyDescent="0.2">
      <c r="A22" s="42" t="s">
        <v>18</v>
      </c>
    </row>
    <row r="23" spans="1:1" ht="17.25" customHeight="1" x14ac:dyDescent="0.2">
      <c r="A23" s="46" t="s">
        <v>19</v>
      </c>
    </row>
    <row r="24" spans="1:1" ht="17.25" customHeight="1" x14ac:dyDescent="0.2">
      <c r="A24" s="46"/>
    </row>
    <row r="25" spans="1:1" ht="23.25" customHeight="1" x14ac:dyDescent="0.2">
      <c r="A25" s="42" t="s">
        <v>20</v>
      </c>
    </row>
    <row r="26" spans="1:1" ht="17.25" customHeight="1" x14ac:dyDescent="0.2">
      <c r="A26" s="47" t="s">
        <v>21</v>
      </c>
    </row>
    <row r="27" spans="1:1" ht="32.25" customHeight="1" x14ac:dyDescent="0.2">
      <c r="A27" s="45" t="s">
        <v>22</v>
      </c>
    </row>
    <row r="28" spans="1:1" ht="17.25" customHeight="1" x14ac:dyDescent="0.2">
      <c r="A28" s="47" t="s">
        <v>23</v>
      </c>
    </row>
    <row r="29" spans="1:1" ht="32.25" customHeight="1" x14ac:dyDescent="0.2">
      <c r="A29" s="45" t="s">
        <v>24</v>
      </c>
    </row>
    <row r="30" spans="1:1" ht="17.25" customHeight="1" x14ac:dyDescent="0.2">
      <c r="A30" s="47" t="s">
        <v>0</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1"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30"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topLeftCell="A4" zoomScaleNormal="100" workbookViewId="0">
      <selection activeCell="B6" sqref="B6:F6"/>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49" t="s">
        <v>51</v>
      </c>
      <c r="B1" s="149"/>
      <c r="C1" s="149"/>
      <c r="D1" s="149"/>
      <c r="E1" s="149"/>
      <c r="F1" s="149"/>
      <c r="G1" s="17"/>
      <c r="H1" s="17"/>
      <c r="I1" s="17"/>
      <c r="J1" s="17"/>
      <c r="K1" s="17"/>
    </row>
    <row r="2" spans="1:11" ht="21" customHeight="1" x14ac:dyDescent="0.2">
      <c r="A2" s="3" t="s">
        <v>52</v>
      </c>
      <c r="B2" s="150" t="s">
        <v>53</v>
      </c>
      <c r="C2" s="150"/>
      <c r="D2" s="150"/>
      <c r="E2" s="150"/>
      <c r="F2" s="150"/>
      <c r="G2" s="17"/>
      <c r="H2" s="17"/>
      <c r="I2" s="17"/>
      <c r="J2" s="17"/>
      <c r="K2" s="17"/>
    </row>
    <row r="3" spans="1:11" ht="15.75" x14ac:dyDescent="0.2">
      <c r="A3" s="3" t="s">
        <v>54</v>
      </c>
      <c r="B3" s="150" t="s">
        <v>55</v>
      </c>
      <c r="C3" s="150"/>
      <c r="D3" s="150"/>
      <c r="E3" s="150"/>
      <c r="F3" s="150"/>
      <c r="G3" s="17"/>
      <c r="H3" s="17"/>
      <c r="I3" s="17"/>
      <c r="J3" s="17"/>
      <c r="K3" s="17"/>
    </row>
    <row r="4" spans="1:11" ht="21" customHeight="1" x14ac:dyDescent="0.2">
      <c r="A4" s="3" t="s">
        <v>56</v>
      </c>
      <c r="B4" s="151">
        <v>45108</v>
      </c>
      <c r="C4" s="151"/>
      <c r="D4" s="151"/>
      <c r="E4" s="151"/>
      <c r="F4" s="151"/>
      <c r="G4" s="17"/>
      <c r="H4" s="17"/>
      <c r="I4" s="17"/>
      <c r="J4" s="17"/>
      <c r="K4" s="17"/>
    </row>
    <row r="5" spans="1:11" ht="21" customHeight="1" x14ac:dyDescent="0.2">
      <c r="A5" s="3" t="s">
        <v>57</v>
      </c>
      <c r="B5" s="151">
        <v>45473</v>
      </c>
      <c r="C5" s="151"/>
      <c r="D5" s="151"/>
      <c r="E5" s="151"/>
      <c r="F5" s="151"/>
      <c r="G5" s="17"/>
      <c r="H5" s="17"/>
      <c r="I5" s="17"/>
      <c r="J5" s="17"/>
      <c r="K5" s="17"/>
    </row>
    <row r="6" spans="1:11" ht="21" customHeight="1" x14ac:dyDescent="0.2">
      <c r="A6" s="3" t="s">
        <v>58</v>
      </c>
      <c r="B6" s="148" t="s">
        <v>440</v>
      </c>
      <c r="C6" s="148"/>
      <c r="D6" s="148"/>
      <c r="E6" s="148"/>
      <c r="F6" s="148"/>
      <c r="G6" s="23"/>
      <c r="H6" s="17"/>
      <c r="I6" s="17"/>
      <c r="J6" s="17"/>
      <c r="K6" s="17"/>
    </row>
    <row r="7" spans="1:11" ht="31.5" x14ac:dyDescent="0.2">
      <c r="A7" s="3" t="s">
        <v>59</v>
      </c>
      <c r="B7" s="147" t="s">
        <v>93</v>
      </c>
      <c r="C7" s="147"/>
      <c r="D7" s="147"/>
      <c r="E7" s="147"/>
      <c r="F7" s="147"/>
      <c r="G7" s="23"/>
      <c r="H7" s="17"/>
      <c r="I7" s="17"/>
      <c r="J7" s="17"/>
      <c r="K7" s="17"/>
    </row>
    <row r="8" spans="1:11" ht="25.5" customHeight="1" x14ac:dyDescent="0.2">
      <c r="A8" s="3" t="s">
        <v>61</v>
      </c>
      <c r="B8" s="147" t="s">
        <v>439</v>
      </c>
      <c r="C8" s="147"/>
      <c r="D8" s="147"/>
      <c r="E8" s="147"/>
      <c r="F8" s="147"/>
      <c r="G8" s="23"/>
      <c r="H8" s="17"/>
      <c r="I8" s="17"/>
      <c r="J8" s="17"/>
      <c r="K8" s="17"/>
    </row>
    <row r="9" spans="1:11" ht="66.75" customHeight="1" x14ac:dyDescent="0.2">
      <c r="A9" s="146" t="s">
        <v>63</v>
      </c>
      <c r="B9" s="146"/>
      <c r="C9" s="146"/>
      <c r="D9" s="146"/>
      <c r="E9" s="146"/>
      <c r="F9" s="146"/>
      <c r="G9" s="23"/>
      <c r="H9" s="17"/>
      <c r="I9" s="17"/>
      <c r="J9" s="17"/>
      <c r="K9" s="17"/>
    </row>
    <row r="10" spans="1:11" s="93" customFormat="1" ht="36" customHeight="1" x14ac:dyDescent="0.2">
      <c r="A10" s="87" t="s">
        <v>64</v>
      </c>
      <c r="B10" s="88" t="s">
        <v>65</v>
      </c>
      <c r="C10" s="88" t="s">
        <v>66</v>
      </c>
      <c r="D10" s="89"/>
      <c r="E10" s="90" t="s">
        <v>29</v>
      </c>
      <c r="F10" s="91" t="s">
        <v>67</v>
      </c>
      <c r="G10" s="92"/>
      <c r="H10" s="92"/>
      <c r="I10" s="92"/>
      <c r="J10" s="92"/>
      <c r="K10" s="92"/>
    </row>
    <row r="11" spans="1:11" ht="27.75" customHeight="1" x14ac:dyDescent="0.2">
      <c r="A11" s="8" t="s">
        <v>68</v>
      </c>
      <c r="B11" s="59">
        <f>B15+B16+B17</f>
        <v>38188.200000000004</v>
      </c>
      <c r="C11" s="66" t="s">
        <v>69</v>
      </c>
      <c r="D11" s="6"/>
      <c r="E11" s="8" t="s">
        <v>70</v>
      </c>
      <c r="F11" s="33">
        <f>'Gifts and benefits'!C33</f>
        <v>16</v>
      </c>
      <c r="G11" s="29"/>
      <c r="H11" s="29"/>
      <c r="I11" s="29"/>
      <c r="J11" s="29"/>
      <c r="K11" s="29"/>
    </row>
    <row r="12" spans="1:11" ht="27.75" customHeight="1" x14ac:dyDescent="0.2">
      <c r="A12" s="8" t="s">
        <v>0</v>
      </c>
      <c r="B12" s="59">
        <f>Hospitality!B21</f>
        <v>426.33000000000004</v>
      </c>
      <c r="C12" s="66" t="s">
        <v>69</v>
      </c>
      <c r="D12" s="6"/>
      <c r="E12" s="8" t="s">
        <v>71</v>
      </c>
      <c r="F12" s="33">
        <f>'Gifts and benefits'!C34</f>
        <v>11</v>
      </c>
      <c r="G12" s="29"/>
      <c r="H12" s="29"/>
      <c r="I12" s="29"/>
      <c r="J12" s="29"/>
      <c r="K12" s="29"/>
    </row>
    <row r="13" spans="1:11" ht="27.75" customHeight="1" x14ac:dyDescent="0.2">
      <c r="A13" s="8" t="s">
        <v>72</v>
      </c>
      <c r="B13" s="59">
        <f>'All other expenses'!B24</f>
        <v>456</v>
      </c>
      <c r="C13" s="66" t="s">
        <v>69</v>
      </c>
      <c r="D13" s="6"/>
      <c r="E13" s="8" t="s">
        <v>73</v>
      </c>
      <c r="F13" s="33">
        <f>'Gifts and benefits'!C35</f>
        <v>5</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74</v>
      </c>
      <c r="B15" s="61">
        <f>Travel!B30</f>
        <v>5104.47</v>
      </c>
      <c r="C15" s="66" t="s">
        <v>69</v>
      </c>
      <c r="D15" s="6"/>
      <c r="E15" s="6"/>
      <c r="F15" s="35"/>
      <c r="G15" s="17"/>
      <c r="H15" s="17"/>
      <c r="I15" s="17"/>
      <c r="J15" s="17"/>
      <c r="K15" s="17"/>
    </row>
    <row r="16" spans="1:11" ht="27.75" customHeight="1" x14ac:dyDescent="0.2">
      <c r="A16" s="9" t="s">
        <v>75</v>
      </c>
      <c r="B16" s="61">
        <f>Travel!B178</f>
        <v>32197.54</v>
      </c>
      <c r="C16" s="66" t="s">
        <v>69</v>
      </c>
      <c r="D16" s="36"/>
      <c r="E16" s="6"/>
      <c r="F16" s="37"/>
      <c r="G16" s="17"/>
      <c r="H16" s="17"/>
      <c r="I16" s="17"/>
      <c r="J16" s="17"/>
      <c r="K16" s="17"/>
    </row>
    <row r="17" spans="1:11" ht="27.75" customHeight="1" x14ac:dyDescent="0.2">
      <c r="A17" s="9" t="s">
        <v>76</v>
      </c>
      <c r="B17" s="61">
        <f>Travel!B215</f>
        <v>886.19</v>
      </c>
      <c r="C17" s="68" t="str">
        <f>C11</f>
        <v>GST exc</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77</v>
      </c>
      <c r="B19" s="19"/>
      <c r="C19" s="17"/>
      <c r="D19" s="17"/>
      <c r="E19" s="17"/>
      <c r="F19" s="17"/>
      <c r="G19" s="17"/>
      <c r="H19" s="17"/>
      <c r="I19" s="17"/>
      <c r="J19" s="17"/>
      <c r="K19" s="17"/>
    </row>
    <row r="20" spans="1:11" x14ac:dyDescent="0.2">
      <c r="A20" s="20" t="s">
        <v>78</v>
      </c>
      <c r="D20" s="17"/>
      <c r="E20" s="17"/>
      <c r="F20" s="17"/>
      <c r="G20" s="17"/>
      <c r="H20" s="17"/>
      <c r="I20" s="17"/>
      <c r="J20" s="17"/>
      <c r="K20" s="17"/>
    </row>
    <row r="21" spans="1:11" ht="12.75" customHeight="1" x14ac:dyDescent="0.2">
      <c r="A21" s="20" t="s">
        <v>79</v>
      </c>
      <c r="D21" s="17"/>
      <c r="E21" s="17"/>
      <c r="F21" s="17"/>
      <c r="G21" s="17"/>
      <c r="H21" s="17"/>
      <c r="I21" s="17"/>
      <c r="J21" s="17"/>
      <c r="K21" s="17"/>
    </row>
    <row r="22" spans="1:11" ht="12.75" customHeight="1" x14ac:dyDescent="0.2">
      <c r="A22" s="20" t="s">
        <v>80</v>
      </c>
      <c r="D22" s="17"/>
      <c r="E22" s="17"/>
      <c r="F22" s="17"/>
      <c r="G22" s="17"/>
      <c r="H22" s="17"/>
      <c r="I22" s="17"/>
      <c r="J22" s="17"/>
      <c r="K22" s="17"/>
    </row>
    <row r="23" spans="1:11" ht="12.75" customHeight="1" x14ac:dyDescent="0.2">
      <c r="A23" s="20" t="s">
        <v>81</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82</v>
      </c>
      <c r="B25" s="13"/>
      <c r="C25" s="13"/>
      <c r="D25" s="13"/>
      <c r="E25" s="13"/>
      <c r="F25" s="13"/>
      <c r="G25" s="17"/>
      <c r="H25" s="17"/>
      <c r="I25" s="17"/>
      <c r="J25" s="17"/>
      <c r="K25" s="17"/>
    </row>
    <row r="26" spans="1:11" ht="12.75" hidden="1" customHeight="1" x14ac:dyDescent="0.2">
      <c r="A26" s="11" t="s">
        <v>83</v>
      </c>
      <c r="B26" s="4"/>
      <c r="C26" s="4"/>
      <c r="D26" s="11"/>
      <c r="E26" s="11"/>
      <c r="F26" s="11"/>
      <c r="G26" s="17"/>
      <c r="H26" s="17"/>
      <c r="I26" s="17"/>
      <c r="J26" s="17"/>
      <c r="K26" s="17"/>
    </row>
    <row r="27" spans="1:11" hidden="1" x14ac:dyDescent="0.2">
      <c r="A27" s="10" t="s">
        <v>84</v>
      </c>
      <c r="B27" s="10"/>
      <c r="C27" s="10"/>
      <c r="D27" s="10"/>
      <c r="E27" s="10"/>
      <c r="F27" s="10"/>
      <c r="G27" s="17"/>
      <c r="H27" s="17"/>
      <c r="I27" s="17"/>
      <c r="J27" s="17"/>
      <c r="K27" s="17"/>
    </row>
    <row r="28" spans="1:11" hidden="1" x14ac:dyDescent="0.2">
      <c r="A28" s="10" t="s">
        <v>85</v>
      </c>
      <c r="B28" s="10"/>
      <c r="C28" s="10"/>
      <c r="D28" s="10"/>
      <c r="E28" s="10"/>
      <c r="F28" s="10"/>
      <c r="G28" s="17"/>
      <c r="H28" s="17"/>
      <c r="I28" s="17"/>
      <c r="J28" s="17"/>
      <c r="K28" s="17"/>
    </row>
    <row r="29" spans="1:11" hidden="1" x14ac:dyDescent="0.2">
      <c r="A29" s="11" t="s">
        <v>86</v>
      </c>
      <c r="B29" s="11"/>
      <c r="C29" s="11"/>
      <c r="D29" s="11"/>
      <c r="E29" s="11"/>
      <c r="F29" s="11"/>
      <c r="G29" s="17"/>
      <c r="H29" s="17"/>
      <c r="I29" s="17"/>
      <c r="J29" s="17"/>
      <c r="K29" s="17"/>
    </row>
    <row r="30" spans="1:11" hidden="1" x14ac:dyDescent="0.2">
      <c r="A30" s="11" t="s">
        <v>87</v>
      </c>
      <c r="B30" s="11"/>
      <c r="C30" s="11"/>
      <c r="D30" s="11"/>
      <c r="E30" s="11"/>
      <c r="F30" s="11"/>
      <c r="G30" s="17"/>
      <c r="H30" s="17"/>
      <c r="I30" s="17"/>
      <c r="J30" s="17"/>
      <c r="K30" s="17"/>
    </row>
    <row r="31" spans="1:11" hidden="1" x14ac:dyDescent="0.2">
      <c r="A31" s="10" t="s">
        <v>88</v>
      </c>
      <c r="B31" s="10"/>
      <c r="C31" s="10"/>
      <c r="D31" s="10"/>
      <c r="E31" s="10"/>
      <c r="F31" s="10"/>
      <c r="G31" s="17"/>
      <c r="H31" s="17"/>
      <c r="I31" s="17"/>
      <c r="J31" s="17"/>
      <c r="K31" s="17"/>
    </row>
    <row r="32" spans="1:11" hidden="1" x14ac:dyDescent="0.2">
      <c r="A32" s="10" t="s">
        <v>89</v>
      </c>
      <c r="B32" s="10"/>
      <c r="C32" s="10"/>
      <c r="D32" s="10"/>
      <c r="E32" s="10"/>
      <c r="F32" s="10"/>
      <c r="G32" s="17"/>
      <c r="H32" s="17"/>
      <c r="I32" s="17"/>
      <c r="J32" s="17"/>
      <c r="K32" s="17"/>
    </row>
    <row r="33" spans="1:11" hidden="1" x14ac:dyDescent="0.2">
      <c r="A33" s="10" t="s">
        <v>90</v>
      </c>
      <c r="B33" s="10"/>
      <c r="C33" s="10"/>
      <c r="D33" s="10"/>
      <c r="E33" s="10"/>
      <c r="F33" s="10"/>
      <c r="G33" s="17"/>
      <c r="H33" s="17"/>
      <c r="I33" s="17"/>
      <c r="J33" s="17"/>
      <c r="K33" s="17"/>
    </row>
    <row r="34" spans="1:11" hidden="1" x14ac:dyDescent="0.2">
      <c r="A34" s="11" t="s">
        <v>91</v>
      </c>
      <c r="B34" s="11"/>
      <c r="C34" s="11"/>
      <c r="D34" s="11"/>
      <c r="E34" s="11"/>
      <c r="F34" s="11"/>
      <c r="G34" s="17"/>
      <c r="H34" s="17"/>
      <c r="I34" s="17"/>
      <c r="J34" s="17"/>
      <c r="K34" s="17"/>
    </row>
    <row r="35" spans="1:11" hidden="1" x14ac:dyDescent="0.2">
      <c r="A35" s="11" t="s">
        <v>92</v>
      </c>
      <c r="B35" s="11"/>
      <c r="C35" s="11"/>
      <c r="D35" s="11"/>
      <c r="E35" s="11"/>
      <c r="F35" s="11"/>
      <c r="G35" s="17"/>
      <c r="H35" s="17"/>
      <c r="I35" s="17"/>
      <c r="J35" s="17"/>
      <c r="K35" s="17"/>
    </row>
    <row r="36" spans="1:11" hidden="1" x14ac:dyDescent="0.2">
      <c r="A36" s="10" t="s">
        <v>60</v>
      </c>
      <c r="B36" s="63"/>
      <c r="C36" s="63"/>
      <c r="D36" s="63"/>
      <c r="E36" s="63"/>
      <c r="F36" s="63"/>
      <c r="G36" s="17"/>
      <c r="H36" s="17"/>
      <c r="I36" s="17"/>
      <c r="J36" s="17"/>
      <c r="K36" s="17"/>
    </row>
    <row r="37" spans="1:11" hidden="1" x14ac:dyDescent="0.2">
      <c r="A37" s="10" t="s">
        <v>93</v>
      </c>
      <c r="B37" s="63"/>
      <c r="C37" s="63"/>
      <c r="D37" s="63"/>
      <c r="E37" s="63"/>
      <c r="F37" s="63"/>
      <c r="G37" s="17"/>
      <c r="H37" s="17"/>
      <c r="I37" s="17"/>
      <c r="J37" s="17"/>
      <c r="K37" s="17"/>
    </row>
    <row r="38" spans="1:11" hidden="1" x14ac:dyDescent="0.2">
      <c r="A38" s="10" t="s">
        <v>62</v>
      </c>
      <c r="B38" s="63"/>
      <c r="C38" s="63"/>
      <c r="D38" s="63"/>
      <c r="E38" s="63"/>
      <c r="F38" s="63"/>
      <c r="G38" s="17"/>
      <c r="H38" s="17"/>
      <c r="I38" s="17"/>
      <c r="J38" s="17"/>
      <c r="K38" s="17"/>
    </row>
    <row r="39" spans="1:11" hidden="1" x14ac:dyDescent="0.2">
      <c r="A39" s="11" t="s">
        <v>94</v>
      </c>
      <c r="B39" s="4"/>
      <c r="C39" s="4"/>
      <c r="D39" s="4"/>
      <c r="E39" s="4"/>
      <c r="F39" s="4"/>
      <c r="G39" s="17"/>
      <c r="H39" s="17"/>
      <c r="I39" s="17"/>
      <c r="J39" s="17"/>
      <c r="K39" s="17"/>
    </row>
    <row r="40" spans="1:11" hidden="1" x14ac:dyDescent="0.2">
      <c r="A40" s="4" t="s">
        <v>95</v>
      </c>
      <c r="B40" s="4"/>
      <c r="C40" s="4"/>
      <c r="D40" s="4"/>
      <c r="E40" s="4"/>
      <c r="F40" s="4"/>
      <c r="G40" s="17"/>
      <c r="H40" s="17"/>
      <c r="I40" s="17"/>
      <c r="J40" s="17"/>
      <c r="K40" s="17"/>
    </row>
    <row r="41" spans="1:11" hidden="1" x14ac:dyDescent="0.2">
      <c r="A41" s="4" t="s">
        <v>96</v>
      </c>
      <c r="B41" s="4"/>
      <c r="C41" s="4"/>
      <c r="D41" s="4"/>
      <c r="E41" s="4"/>
      <c r="F41" s="4"/>
      <c r="G41" s="17"/>
      <c r="H41" s="17"/>
      <c r="I41" s="17"/>
      <c r="J41" s="17"/>
      <c r="K41" s="17"/>
    </row>
    <row r="42" spans="1:11" hidden="1" x14ac:dyDescent="0.2">
      <c r="A42" s="4" t="s">
        <v>97</v>
      </c>
      <c r="B42" s="4"/>
      <c r="C42" s="4"/>
      <c r="D42" s="4"/>
      <c r="E42" s="4"/>
      <c r="F42" s="4"/>
      <c r="G42" s="17"/>
      <c r="H42" s="17"/>
      <c r="I42" s="17"/>
      <c r="J42" s="17"/>
      <c r="K42" s="17"/>
    </row>
    <row r="43" spans="1:11" hidden="1" x14ac:dyDescent="0.2">
      <c r="A43" s="4" t="s">
        <v>98</v>
      </c>
      <c r="B43" s="4"/>
      <c r="C43" s="4"/>
      <c r="D43" s="4"/>
      <c r="E43" s="4"/>
      <c r="F43" s="4"/>
      <c r="G43" s="17"/>
      <c r="H43" s="17"/>
      <c r="I43" s="17"/>
      <c r="J43" s="17"/>
      <c r="K43" s="17"/>
    </row>
    <row r="44" spans="1:11" hidden="1" x14ac:dyDescent="0.2">
      <c r="A44" s="4" t="s">
        <v>99</v>
      </c>
      <c r="B44" s="4"/>
      <c r="C44" s="4"/>
      <c r="D44" s="4"/>
      <c r="E44" s="4"/>
      <c r="F44" s="4"/>
      <c r="G44" s="17"/>
      <c r="H44" s="17"/>
      <c r="I44" s="17"/>
      <c r="J44" s="17"/>
      <c r="K44" s="17"/>
    </row>
    <row r="45" spans="1:11" hidden="1" x14ac:dyDescent="0.2">
      <c r="A45" s="64" t="s">
        <v>100</v>
      </c>
      <c r="B45" s="63"/>
      <c r="C45" s="63"/>
      <c r="D45" s="63"/>
      <c r="E45" s="63"/>
      <c r="F45" s="63"/>
      <c r="G45" s="17"/>
      <c r="H45" s="17"/>
      <c r="I45" s="17"/>
      <c r="J45" s="17"/>
      <c r="K45" s="17"/>
    </row>
    <row r="46" spans="1:11" hidden="1" x14ac:dyDescent="0.2">
      <c r="A46" s="63" t="s">
        <v>101</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102</v>
      </c>
      <c r="B48" s="63"/>
      <c r="C48" s="63"/>
      <c r="D48" s="63"/>
      <c r="E48" s="63"/>
      <c r="F48" s="63"/>
      <c r="G48" s="17"/>
      <c r="H48" s="17"/>
      <c r="I48" s="17"/>
      <c r="J48" s="17"/>
      <c r="K48" s="17"/>
    </row>
    <row r="49" spans="1:11" ht="25.5" hidden="1" x14ac:dyDescent="0.2">
      <c r="A49" s="81" t="s">
        <v>103</v>
      </c>
      <c r="B49" s="63"/>
      <c r="C49" s="63"/>
      <c r="D49" s="63"/>
      <c r="E49" s="63"/>
      <c r="F49" s="63"/>
      <c r="G49" s="17"/>
      <c r="H49" s="17"/>
      <c r="I49" s="17"/>
      <c r="J49" s="17"/>
      <c r="K49" s="17"/>
    </row>
    <row r="50" spans="1:11" ht="25.5" hidden="1" x14ac:dyDescent="0.2">
      <c r="A50" s="82" t="s">
        <v>104</v>
      </c>
      <c r="B50" s="4"/>
      <c r="C50" s="4"/>
      <c r="D50" s="4"/>
      <c r="E50" s="4"/>
      <c r="F50" s="4"/>
      <c r="G50" s="17"/>
      <c r="H50" s="17"/>
      <c r="I50" s="17"/>
      <c r="J50" s="17"/>
      <c r="K50" s="17"/>
    </row>
    <row r="51" spans="1:11" ht="25.5" hidden="1" x14ac:dyDescent="0.2">
      <c r="A51" s="82" t="s">
        <v>105</v>
      </c>
      <c r="B51" s="4"/>
      <c r="C51" s="4"/>
      <c r="D51" s="4"/>
      <c r="E51" s="4"/>
      <c r="F51" s="4"/>
      <c r="G51" s="17"/>
      <c r="H51" s="17"/>
      <c r="I51" s="17"/>
      <c r="J51" s="17"/>
      <c r="K51" s="17"/>
    </row>
    <row r="52" spans="1:11" ht="38.25" hidden="1" x14ac:dyDescent="0.2">
      <c r="A52" s="82" t="s">
        <v>106</v>
      </c>
      <c r="B52" s="74"/>
      <c r="C52" s="74"/>
      <c r="D52" s="74"/>
      <c r="E52" s="11"/>
      <c r="F52" s="11"/>
      <c r="G52" s="17"/>
      <c r="H52" s="17"/>
      <c r="I52" s="17"/>
      <c r="J52" s="17"/>
      <c r="K52" s="17"/>
    </row>
    <row r="53" spans="1:11" hidden="1" x14ac:dyDescent="0.2">
      <c r="A53" s="79" t="s">
        <v>107</v>
      </c>
      <c r="B53" s="73"/>
      <c r="C53" s="73"/>
      <c r="D53" s="73"/>
      <c r="E53" s="10"/>
      <c r="F53" s="10" t="b">
        <v>1</v>
      </c>
      <c r="G53" s="17"/>
      <c r="H53" s="17"/>
      <c r="I53" s="17"/>
      <c r="J53" s="17"/>
      <c r="K53" s="17"/>
    </row>
    <row r="54" spans="1:11" hidden="1" x14ac:dyDescent="0.2">
      <c r="A54" s="80" t="s">
        <v>108</v>
      </c>
      <c r="B54" s="79"/>
      <c r="C54" s="79"/>
      <c r="D54" s="79"/>
      <c r="E54" s="10"/>
      <c r="F54" s="10" t="b">
        <v>0</v>
      </c>
      <c r="G54" s="17"/>
      <c r="H54" s="17"/>
      <c r="I54" s="17"/>
      <c r="J54" s="17"/>
      <c r="K54" s="17"/>
    </row>
    <row r="55" spans="1:11" hidden="1" x14ac:dyDescent="0.2">
      <c r="A55" s="83"/>
      <c r="B55" s="75">
        <f>COUNT(Travel!B12:B29)</f>
        <v>13</v>
      </c>
      <c r="C55" s="75"/>
      <c r="D55" s="75">
        <f>COUNTIF(Travel!D12:D29,"*")</f>
        <v>13</v>
      </c>
      <c r="E55" s="76"/>
      <c r="F55" s="76" t="b">
        <f>MIN(B55,D55)=MAX(B55,D55)</f>
        <v>1</v>
      </c>
      <c r="G55" s="17"/>
      <c r="H55" s="17"/>
      <c r="I55" s="17"/>
      <c r="J55" s="17"/>
      <c r="K55" s="17"/>
    </row>
    <row r="56" spans="1:11" hidden="1" x14ac:dyDescent="0.2">
      <c r="A56" s="83" t="s">
        <v>109</v>
      </c>
      <c r="B56" s="75">
        <f>COUNT(Travel!B34:B177)</f>
        <v>104</v>
      </c>
      <c r="C56" s="75"/>
      <c r="D56" s="75">
        <f>COUNTIF(Travel!D34:D177,"*")</f>
        <v>104</v>
      </c>
      <c r="E56" s="76"/>
      <c r="F56" s="76" t="b">
        <f>MIN(B56,D56)=MAX(B56,D56)</f>
        <v>1</v>
      </c>
    </row>
    <row r="57" spans="1:11" hidden="1" x14ac:dyDescent="0.2">
      <c r="A57" s="84"/>
      <c r="B57" s="75">
        <f>COUNT(Travel!B182:B214)</f>
        <v>31</v>
      </c>
      <c r="C57" s="75"/>
      <c r="D57" s="75">
        <f>COUNTIF(Travel!D182:D214,"*")</f>
        <v>31</v>
      </c>
      <c r="E57" s="76"/>
      <c r="F57" s="76" t="b">
        <f>MIN(B57,D57)=MAX(B57,D57)</f>
        <v>1</v>
      </c>
    </row>
    <row r="58" spans="1:11" hidden="1" x14ac:dyDescent="0.2">
      <c r="A58" s="85" t="s">
        <v>110</v>
      </c>
      <c r="B58" s="77">
        <f>COUNT(Hospitality!B11:B20)</f>
        <v>7</v>
      </c>
      <c r="C58" s="77"/>
      <c r="D58" s="77">
        <f>COUNTIF(Hospitality!D11:D20,"*")</f>
        <v>7</v>
      </c>
      <c r="E58" s="78"/>
      <c r="F58" s="78" t="b">
        <f>MIN(B58,D58)=MAX(B58,D58)</f>
        <v>1</v>
      </c>
    </row>
    <row r="59" spans="1:11" hidden="1" x14ac:dyDescent="0.2">
      <c r="A59" s="86" t="s">
        <v>111</v>
      </c>
      <c r="B59" s="76">
        <f>COUNT('All other expenses'!B11:B23)</f>
        <v>1</v>
      </c>
      <c r="C59" s="76"/>
      <c r="D59" s="76">
        <f>COUNTIF('All other expenses'!D11:D23,"*")</f>
        <v>1</v>
      </c>
      <c r="E59" s="76"/>
      <c r="F59" s="76" t="b">
        <f>MIN(B59,D59)=MAX(B59,D59)</f>
        <v>1</v>
      </c>
    </row>
    <row r="60" spans="1:11" hidden="1" x14ac:dyDescent="0.2">
      <c r="A60" s="85" t="s">
        <v>112</v>
      </c>
      <c r="B60" s="77">
        <f>COUNTIF('Gifts and benefits'!B11:B32,"*")</f>
        <v>16</v>
      </c>
      <c r="C60" s="77">
        <f>COUNTIF('Gifts and benefits'!C11:C32,"*")</f>
        <v>16</v>
      </c>
      <c r="D60" s="77"/>
      <c r="E60" s="77">
        <f>COUNTA('Gifts and benefits'!E11:E32)</f>
        <v>16</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333"/>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54" t="s">
        <v>113</v>
      </c>
      <c r="B1" s="154"/>
      <c r="C1" s="154"/>
      <c r="D1" s="154"/>
      <c r="E1" s="154"/>
      <c r="F1" s="17"/>
    </row>
    <row r="2" spans="1:6" ht="21" customHeight="1" x14ac:dyDescent="0.2">
      <c r="A2" s="3" t="s">
        <v>114</v>
      </c>
      <c r="B2" s="152" t="str">
        <f>'Summary and sign-off'!B2:F2</f>
        <v>Sport NZ</v>
      </c>
      <c r="C2" s="152"/>
      <c r="D2" s="152"/>
      <c r="E2" s="152"/>
      <c r="F2" s="17"/>
    </row>
    <row r="3" spans="1:6" ht="31.5" x14ac:dyDescent="0.2">
      <c r="A3" s="3" t="s">
        <v>115</v>
      </c>
      <c r="B3" s="152" t="str">
        <f>'Summary and sign-off'!B3:F3</f>
        <v>Raelene Castle</v>
      </c>
      <c r="C3" s="152"/>
      <c r="D3" s="152"/>
      <c r="E3" s="152"/>
      <c r="F3" s="17"/>
    </row>
    <row r="4" spans="1:6" ht="21" customHeight="1" x14ac:dyDescent="0.2">
      <c r="A4" s="3" t="s">
        <v>116</v>
      </c>
      <c r="B4" s="152">
        <f>'Summary and sign-off'!B4:F4</f>
        <v>45108</v>
      </c>
      <c r="C4" s="152"/>
      <c r="D4" s="152"/>
      <c r="E4" s="152"/>
      <c r="F4" s="17"/>
    </row>
    <row r="5" spans="1:6" ht="21" customHeight="1" x14ac:dyDescent="0.2">
      <c r="A5" s="3" t="s">
        <v>117</v>
      </c>
      <c r="B5" s="152">
        <f>'Summary and sign-off'!B5:F5</f>
        <v>45473</v>
      </c>
      <c r="C5" s="152"/>
      <c r="D5" s="152"/>
      <c r="E5" s="152"/>
      <c r="F5" s="17"/>
    </row>
    <row r="6" spans="1:6" ht="21" customHeight="1" x14ac:dyDescent="0.2">
      <c r="A6" s="3" t="s">
        <v>118</v>
      </c>
      <c r="B6" s="147" t="s">
        <v>85</v>
      </c>
      <c r="C6" s="147"/>
      <c r="D6" s="147"/>
      <c r="E6" s="147"/>
      <c r="F6" s="17"/>
    </row>
    <row r="7" spans="1:6" ht="21" customHeight="1" x14ac:dyDescent="0.2">
      <c r="A7" s="3" t="s">
        <v>58</v>
      </c>
      <c r="B7" s="147" t="s">
        <v>87</v>
      </c>
      <c r="C7" s="147"/>
      <c r="D7" s="147"/>
      <c r="E7" s="147"/>
      <c r="F7" s="17"/>
    </row>
    <row r="8" spans="1:6" ht="36" customHeight="1" x14ac:dyDescent="0.2">
      <c r="A8" s="156" t="s">
        <v>119</v>
      </c>
      <c r="B8" s="157"/>
      <c r="C8" s="157"/>
      <c r="D8" s="157"/>
      <c r="E8" s="157"/>
      <c r="F8" s="19"/>
    </row>
    <row r="9" spans="1:6" ht="36" customHeight="1" x14ac:dyDescent="0.2">
      <c r="A9" s="158" t="s">
        <v>120</v>
      </c>
      <c r="B9" s="159"/>
      <c r="C9" s="159"/>
      <c r="D9" s="159"/>
      <c r="E9" s="159"/>
      <c r="F9" s="19"/>
    </row>
    <row r="10" spans="1:6" ht="24.75" customHeight="1" x14ac:dyDescent="0.2">
      <c r="A10" s="155" t="s">
        <v>121</v>
      </c>
      <c r="B10" s="160"/>
      <c r="C10" s="155"/>
      <c r="D10" s="155"/>
      <c r="E10" s="155"/>
      <c r="F10" s="29"/>
    </row>
    <row r="11" spans="1:6" ht="28.5" customHeight="1" x14ac:dyDescent="0.2">
      <c r="A11" s="24" t="s">
        <v>122</v>
      </c>
      <c r="B11" s="24" t="s">
        <v>123</v>
      </c>
      <c r="C11" s="24" t="s">
        <v>124</v>
      </c>
      <c r="D11" s="24" t="s">
        <v>125</v>
      </c>
      <c r="E11" s="24" t="s">
        <v>126</v>
      </c>
      <c r="F11" s="30"/>
    </row>
    <row r="12" spans="1:6" s="2" customFormat="1" x14ac:dyDescent="0.2">
      <c r="A12" s="117" t="s">
        <v>127</v>
      </c>
      <c r="B12" s="118">
        <v>0</v>
      </c>
      <c r="C12" s="119" t="s">
        <v>128</v>
      </c>
      <c r="D12" s="119" t="s">
        <v>129</v>
      </c>
      <c r="E12" s="120" t="s">
        <v>130</v>
      </c>
      <c r="F12" s="1"/>
    </row>
    <row r="13" spans="1:6" s="2" customFormat="1" x14ac:dyDescent="0.2">
      <c r="A13" s="117" t="s">
        <v>127</v>
      </c>
      <c r="B13" s="118">
        <v>0</v>
      </c>
      <c r="C13" s="119" t="s">
        <v>128</v>
      </c>
      <c r="D13" s="119" t="s">
        <v>131</v>
      </c>
      <c r="E13" s="120" t="s">
        <v>130</v>
      </c>
      <c r="F13" s="1"/>
    </row>
    <row r="14" spans="1:6" s="2" customFormat="1" x14ac:dyDescent="0.2">
      <c r="A14" s="117" t="s">
        <v>127</v>
      </c>
      <c r="B14" s="118">
        <f>56.02+55.07+12.54+107.75+11.63+60.67+13.53+21.15</f>
        <v>338.35999999999996</v>
      </c>
      <c r="C14" s="119" t="s">
        <v>128</v>
      </c>
      <c r="D14" s="119" t="s">
        <v>132</v>
      </c>
      <c r="E14" s="120" t="s">
        <v>133</v>
      </c>
      <c r="F14" s="1"/>
    </row>
    <row r="15" spans="1:6" s="2" customFormat="1" x14ac:dyDescent="0.2">
      <c r="A15" s="117"/>
      <c r="B15" s="118"/>
      <c r="C15" s="119"/>
      <c r="D15" s="119"/>
      <c r="E15" s="120"/>
      <c r="F15" s="1"/>
    </row>
    <row r="16" spans="1:6" s="2" customFormat="1" x14ac:dyDescent="0.2">
      <c r="A16" s="117" t="s">
        <v>134</v>
      </c>
      <c r="B16" s="118">
        <f>791.84</f>
        <v>791.84</v>
      </c>
      <c r="C16" s="119" t="s">
        <v>135</v>
      </c>
      <c r="D16" s="119" t="s">
        <v>136</v>
      </c>
      <c r="E16" s="120" t="s">
        <v>130</v>
      </c>
      <c r="F16" s="1"/>
    </row>
    <row r="17" spans="1:6" s="2" customFormat="1" x14ac:dyDescent="0.2">
      <c r="A17" s="117" t="s">
        <v>134</v>
      </c>
      <c r="B17" s="118">
        <v>1060.8800000000001</v>
      </c>
      <c r="C17" s="119" t="s">
        <v>135</v>
      </c>
      <c r="D17" s="119" t="s">
        <v>137</v>
      </c>
      <c r="E17" s="120" t="s">
        <v>130</v>
      </c>
      <c r="F17" s="1"/>
    </row>
    <row r="18" spans="1:6" s="2" customFormat="1" x14ac:dyDescent="0.2">
      <c r="A18" s="117" t="s">
        <v>134</v>
      </c>
      <c r="B18" s="118">
        <f>67.75+57.41+113.1</f>
        <v>238.26</v>
      </c>
      <c r="C18" s="119" t="s">
        <v>135</v>
      </c>
      <c r="D18" s="119" t="s">
        <v>138</v>
      </c>
      <c r="E18" s="120" t="s">
        <v>130</v>
      </c>
      <c r="F18" s="1"/>
    </row>
    <row r="19" spans="1:6" s="2" customFormat="1" x14ac:dyDescent="0.2">
      <c r="A19" s="117" t="s">
        <v>134</v>
      </c>
      <c r="B19" s="118">
        <v>39.57</v>
      </c>
      <c r="C19" s="119" t="s">
        <v>135</v>
      </c>
      <c r="D19" s="119" t="s">
        <v>139</v>
      </c>
      <c r="E19" s="120" t="s">
        <v>130</v>
      </c>
      <c r="F19" s="1"/>
    </row>
    <row r="20" spans="1:6" s="2" customFormat="1" x14ac:dyDescent="0.2">
      <c r="A20" s="117"/>
      <c r="B20" s="118"/>
      <c r="C20" s="119"/>
      <c r="D20" s="119"/>
      <c r="E20" s="120"/>
      <c r="F20" s="1"/>
    </row>
    <row r="21" spans="1:6" s="2" customFormat="1" x14ac:dyDescent="0.2">
      <c r="A21" s="117" t="s">
        <v>140</v>
      </c>
      <c r="B21" s="118">
        <f>255.9+104+7</f>
        <v>366.9</v>
      </c>
      <c r="C21" s="119" t="s">
        <v>141</v>
      </c>
      <c r="D21" s="119" t="s">
        <v>142</v>
      </c>
      <c r="E21" s="120" t="s">
        <v>143</v>
      </c>
      <c r="F21" s="1"/>
    </row>
    <row r="22" spans="1:6" s="2" customFormat="1" x14ac:dyDescent="0.2">
      <c r="A22" s="117" t="s">
        <v>144</v>
      </c>
      <c r="B22" s="118">
        <v>740.52</v>
      </c>
      <c r="C22" s="133" t="s">
        <v>141</v>
      </c>
      <c r="D22" s="119" t="s">
        <v>145</v>
      </c>
      <c r="E22" s="120" t="s">
        <v>143</v>
      </c>
      <c r="F22" s="1"/>
    </row>
    <row r="23" spans="1:6" s="2" customFormat="1" x14ac:dyDescent="0.2">
      <c r="A23" s="132">
        <v>45160</v>
      </c>
      <c r="B23" s="118">
        <f>51.74+16.75+25.79+13.64+38.46+100.83</f>
        <v>247.20999999999998</v>
      </c>
      <c r="C23" s="133" t="s">
        <v>141</v>
      </c>
      <c r="D23" s="119" t="s">
        <v>146</v>
      </c>
      <c r="E23" s="120" t="s">
        <v>147</v>
      </c>
      <c r="F23" s="1"/>
    </row>
    <row r="24" spans="1:6" s="2" customFormat="1" x14ac:dyDescent="0.2">
      <c r="A24" s="117"/>
      <c r="B24" s="118"/>
      <c r="C24" s="119"/>
      <c r="D24" s="119"/>
      <c r="E24" s="120"/>
      <c r="F24" s="1"/>
    </row>
    <row r="25" spans="1:6" s="2" customFormat="1" x14ac:dyDescent="0.2">
      <c r="A25" s="117" t="s">
        <v>148</v>
      </c>
      <c r="B25" s="118">
        <f>354.71+547.22</f>
        <v>901.93000000000006</v>
      </c>
      <c r="C25" s="119" t="s">
        <v>149</v>
      </c>
      <c r="D25" s="119" t="s">
        <v>150</v>
      </c>
      <c r="E25" s="120" t="s">
        <v>130</v>
      </c>
      <c r="F25" s="136"/>
    </row>
    <row r="26" spans="1:6" s="2" customFormat="1" x14ac:dyDescent="0.2">
      <c r="A26" s="117" t="s">
        <v>148</v>
      </c>
      <c r="B26" s="118">
        <f>56.47+72.45+20.36+33.13+14.63+87.33+37.42</f>
        <v>321.79000000000002</v>
      </c>
      <c r="C26" s="119" t="s">
        <v>149</v>
      </c>
      <c r="D26" s="119" t="s">
        <v>151</v>
      </c>
      <c r="E26" s="120" t="s">
        <v>152</v>
      </c>
      <c r="F26" s="1"/>
    </row>
    <row r="27" spans="1:6" s="2" customFormat="1" x14ac:dyDescent="0.2">
      <c r="A27" s="117" t="s">
        <v>148</v>
      </c>
      <c r="B27" s="118">
        <v>57.21</v>
      </c>
      <c r="C27" s="119" t="s">
        <v>149</v>
      </c>
      <c r="D27" s="119" t="s">
        <v>139</v>
      </c>
      <c r="E27" s="120" t="s">
        <v>130</v>
      </c>
      <c r="F27" s="1"/>
    </row>
    <row r="28" spans="1:6" s="2" customFormat="1" x14ac:dyDescent="0.2">
      <c r="A28" s="117"/>
      <c r="B28" s="118"/>
      <c r="C28" s="119"/>
      <c r="D28" s="119"/>
      <c r="E28" s="120"/>
      <c r="F28" s="1"/>
    </row>
    <row r="29" spans="1:6" s="2" customFormat="1" hidden="1" x14ac:dyDescent="0.2">
      <c r="A29" s="104"/>
      <c r="B29" s="105"/>
      <c r="C29" s="106"/>
      <c r="D29" s="106"/>
      <c r="E29" s="107"/>
      <c r="F29" s="1"/>
    </row>
    <row r="30" spans="1:6" ht="19.5" customHeight="1" x14ac:dyDescent="0.2">
      <c r="A30" s="71" t="s">
        <v>153</v>
      </c>
      <c r="B30" s="72">
        <f>SUM(B12:B29)</f>
        <v>5104.47</v>
      </c>
      <c r="C30" s="128" t="str">
        <f>IF(SUBTOTAL(3,B12:B29)=SUBTOTAL(103,B12:B29),'Summary and sign-off'!$A$48,'Summary and sign-off'!$A$49)</f>
        <v>Check - there are no hidden rows with data</v>
      </c>
      <c r="D30" s="153" t="str">
        <f>IF('Summary and sign-off'!F55='Summary and sign-off'!F54,'Summary and sign-off'!A51,'Summary and sign-off'!A50)</f>
        <v>Check - each entry provides sufficient information</v>
      </c>
      <c r="E30" s="153"/>
      <c r="F30" s="17"/>
    </row>
    <row r="31" spans="1:6" ht="10.5" customHeight="1" x14ac:dyDescent="0.2">
      <c r="A31" s="17"/>
      <c r="B31" s="19"/>
      <c r="C31" s="17"/>
      <c r="D31" s="17"/>
      <c r="E31" s="17"/>
      <c r="F31" s="17"/>
    </row>
    <row r="32" spans="1:6" ht="24.75" customHeight="1" x14ac:dyDescent="0.2">
      <c r="A32" s="155" t="s">
        <v>154</v>
      </c>
      <c r="B32" s="155"/>
      <c r="C32" s="155"/>
      <c r="D32" s="155"/>
      <c r="E32" s="155"/>
      <c r="F32" s="29"/>
    </row>
    <row r="33" spans="1:6" ht="32.450000000000003" customHeight="1" x14ac:dyDescent="0.2">
      <c r="A33" s="24" t="s">
        <v>122</v>
      </c>
      <c r="B33" s="24" t="s">
        <v>65</v>
      </c>
      <c r="C33" s="24" t="s">
        <v>155</v>
      </c>
      <c r="D33" s="24" t="s">
        <v>125</v>
      </c>
      <c r="E33" s="24" t="s">
        <v>126</v>
      </c>
      <c r="F33" s="30"/>
    </row>
    <row r="34" spans="1:6" s="2" customFormat="1" x14ac:dyDescent="0.2">
      <c r="A34" s="117" t="s">
        <v>156</v>
      </c>
      <c r="B34" s="118">
        <f>139.17+164.48+2+2</f>
        <v>307.64999999999998</v>
      </c>
      <c r="C34" s="119" t="s">
        <v>157</v>
      </c>
      <c r="D34" s="119" t="s">
        <v>158</v>
      </c>
      <c r="E34" s="120" t="s">
        <v>159</v>
      </c>
      <c r="F34" s="1"/>
    </row>
    <row r="35" spans="1:6" s="2" customFormat="1" x14ac:dyDescent="0.2">
      <c r="A35" s="117" t="s">
        <v>156</v>
      </c>
      <c r="B35" s="118">
        <f>79.41+46.43+21.13</f>
        <v>146.97</v>
      </c>
      <c r="C35" s="119" t="s">
        <v>157</v>
      </c>
      <c r="D35" s="119" t="s">
        <v>160</v>
      </c>
      <c r="E35" s="120" t="s">
        <v>161</v>
      </c>
      <c r="F35" s="1"/>
    </row>
    <row r="36" spans="1:6" s="2" customFormat="1" x14ac:dyDescent="0.2">
      <c r="A36" s="117"/>
      <c r="B36" s="118"/>
      <c r="C36" s="119"/>
      <c r="D36" s="119"/>
      <c r="E36" s="120"/>
      <c r="F36" s="1"/>
    </row>
    <row r="37" spans="1:6" s="2" customFormat="1" x14ac:dyDescent="0.2">
      <c r="A37" s="117" t="s">
        <v>162</v>
      </c>
      <c r="B37" s="118">
        <f>329.8</f>
        <v>329.8</v>
      </c>
      <c r="C37" s="119" t="s">
        <v>163</v>
      </c>
      <c r="D37" s="119" t="s">
        <v>158</v>
      </c>
      <c r="E37" s="120" t="s">
        <v>164</v>
      </c>
      <c r="F37" s="1"/>
    </row>
    <row r="38" spans="1:6" s="2" customFormat="1" x14ac:dyDescent="0.2">
      <c r="A38" s="117" t="s">
        <v>162</v>
      </c>
      <c r="B38" s="118">
        <f>46.03+67.96+46.33+27.56</f>
        <v>187.88</v>
      </c>
      <c r="C38" s="119" t="s">
        <v>163</v>
      </c>
      <c r="D38" s="119" t="s">
        <v>160</v>
      </c>
      <c r="E38" s="120" t="s">
        <v>161</v>
      </c>
      <c r="F38" s="1"/>
    </row>
    <row r="39" spans="1:6" s="2" customFormat="1" x14ac:dyDescent="0.2">
      <c r="A39" s="117"/>
      <c r="B39" s="118"/>
      <c r="C39" s="119"/>
      <c r="D39" s="119"/>
      <c r="E39" s="120"/>
      <c r="F39" s="1"/>
    </row>
    <row r="40" spans="1:6" s="2" customFormat="1" x14ac:dyDescent="0.2">
      <c r="A40" s="117" t="s">
        <v>165</v>
      </c>
      <c r="B40" s="118">
        <v>247</v>
      </c>
      <c r="C40" s="119" t="s">
        <v>166</v>
      </c>
      <c r="D40" s="119" t="s">
        <v>167</v>
      </c>
      <c r="E40" s="120" t="s">
        <v>168</v>
      </c>
      <c r="F40" s="1"/>
    </row>
    <row r="41" spans="1:6" s="2" customFormat="1" x14ac:dyDescent="0.2">
      <c r="A41" s="117"/>
      <c r="B41" s="118"/>
      <c r="C41" s="119"/>
      <c r="D41" s="119"/>
      <c r="E41" s="120"/>
      <c r="F41" s="1"/>
    </row>
    <row r="42" spans="1:6" s="133" customFormat="1" ht="15.95" customHeight="1" x14ac:dyDescent="0.2">
      <c r="A42" s="132" t="s">
        <v>169</v>
      </c>
      <c r="B42" s="118">
        <f>126.99+468.96+22+2+2</f>
        <v>621.94999999999993</v>
      </c>
      <c r="C42" s="119" t="s">
        <v>170</v>
      </c>
      <c r="D42" s="119" t="s">
        <v>150</v>
      </c>
      <c r="E42" s="120" t="s">
        <v>171</v>
      </c>
      <c r="F42" s="134"/>
    </row>
    <row r="43" spans="1:6" s="133" customFormat="1" ht="15.95" customHeight="1" x14ac:dyDescent="0.2">
      <c r="A43" s="132" t="s">
        <v>169</v>
      </c>
      <c r="B43" s="118">
        <v>229.57</v>
      </c>
      <c r="C43" s="119" t="s">
        <v>170</v>
      </c>
      <c r="D43" s="119" t="s">
        <v>172</v>
      </c>
      <c r="E43" s="120" t="s">
        <v>173</v>
      </c>
      <c r="F43" s="134"/>
    </row>
    <row r="44" spans="1:6" s="133" customFormat="1" ht="15.75" customHeight="1" x14ac:dyDescent="0.2">
      <c r="A44" s="132" t="s">
        <v>169</v>
      </c>
      <c r="B44" s="118">
        <f>19.34+12.3+11.36+59.32+112.6</f>
        <v>214.92</v>
      </c>
      <c r="C44" s="119" t="s">
        <v>170</v>
      </c>
      <c r="D44" s="119" t="s">
        <v>174</v>
      </c>
      <c r="E44" s="120" t="s">
        <v>173</v>
      </c>
      <c r="F44" s="138"/>
    </row>
    <row r="45" spans="1:6" s="2" customFormat="1" x14ac:dyDescent="0.2">
      <c r="A45" s="117"/>
      <c r="B45" s="118"/>
      <c r="C45" s="119"/>
      <c r="D45" s="119"/>
      <c r="E45" s="120"/>
      <c r="F45" s="1"/>
    </row>
    <row r="46" spans="1:6" s="2" customFormat="1" x14ac:dyDescent="0.2">
      <c r="A46" s="117" t="s">
        <v>175</v>
      </c>
      <c r="B46" s="118">
        <f>43.48+249.67+266.54+2+26</f>
        <v>587.69000000000005</v>
      </c>
      <c r="C46" s="119" t="s">
        <v>176</v>
      </c>
      <c r="D46" s="119" t="s">
        <v>150</v>
      </c>
      <c r="E46" s="120" t="s">
        <v>159</v>
      </c>
      <c r="F46" s="1"/>
    </row>
    <row r="47" spans="1:6" s="2" customFormat="1" x14ac:dyDescent="0.2">
      <c r="A47" s="117" t="s">
        <v>177</v>
      </c>
      <c r="B47" s="118">
        <f>52.08+60.37+8.8+56.04</f>
        <v>177.29</v>
      </c>
      <c r="C47" s="119" t="s">
        <v>176</v>
      </c>
      <c r="D47" s="119" t="s">
        <v>178</v>
      </c>
      <c r="E47" s="120" t="s">
        <v>179</v>
      </c>
      <c r="F47" s="1"/>
    </row>
    <row r="48" spans="1:6" s="133" customFormat="1" x14ac:dyDescent="0.2">
      <c r="A48" s="117"/>
      <c r="B48" s="118"/>
      <c r="C48" s="119"/>
      <c r="D48" s="119"/>
      <c r="E48" s="144"/>
      <c r="F48" s="1"/>
    </row>
    <row r="49" spans="1:6" s="2" customFormat="1" x14ac:dyDescent="0.2">
      <c r="A49" s="132" t="s">
        <v>180</v>
      </c>
      <c r="B49" s="118">
        <v>510.3</v>
      </c>
      <c r="C49" s="119" t="s">
        <v>181</v>
      </c>
      <c r="D49" s="119" t="s">
        <v>150</v>
      </c>
      <c r="E49" s="145" t="s">
        <v>182</v>
      </c>
      <c r="F49" s="1"/>
    </row>
    <row r="50" spans="1:6" s="2" customFormat="1" x14ac:dyDescent="0.2">
      <c r="A50" s="132" t="s">
        <v>180</v>
      </c>
      <c r="B50" s="118">
        <v>48.06</v>
      </c>
      <c r="C50" s="119" t="s">
        <v>181</v>
      </c>
      <c r="D50" s="119" t="s">
        <v>183</v>
      </c>
      <c r="E50" s="120" t="s">
        <v>184</v>
      </c>
      <c r="F50" s="1"/>
    </row>
    <row r="51" spans="1:6" s="2" customFormat="1" x14ac:dyDescent="0.2">
      <c r="A51" s="117"/>
      <c r="B51" s="118"/>
      <c r="C51" s="119"/>
      <c r="D51" s="119"/>
      <c r="E51" s="120"/>
      <c r="F51" s="1"/>
    </row>
    <row r="52" spans="1:6" s="2" customFormat="1" x14ac:dyDescent="0.2">
      <c r="A52" s="117" t="s">
        <v>185</v>
      </c>
      <c r="B52" s="118">
        <f>99.75+1.32+88.5+7</f>
        <v>196.57</v>
      </c>
      <c r="C52" s="119" t="s">
        <v>186</v>
      </c>
      <c r="D52" s="119" t="s">
        <v>187</v>
      </c>
      <c r="E52" s="120" t="s">
        <v>188</v>
      </c>
      <c r="F52" s="1"/>
    </row>
    <row r="53" spans="1:6" s="2" customFormat="1" x14ac:dyDescent="0.2">
      <c r="A53" s="117" t="s">
        <v>185</v>
      </c>
      <c r="B53" s="118">
        <v>159.65</v>
      </c>
      <c r="C53" s="119" t="s">
        <v>186</v>
      </c>
      <c r="D53" s="119" t="s">
        <v>172</v>
      </c>
      <c r="E53" s="120" t="s">
        <v>189</v>
      </c>
      <c r="F53" s="1"/>
    </row>
    <row r="54" spans="1:6" s="2" customFormat="1" x14ac:dyDescent="0.2">
      <c r="A54" s="117" t="s">
        <v>185</v>
      </c>
      <c r="B54" s="118">
        <v>10.39</v>
      </c>
      <c r="C54" s="119" t="s">
        <v>186</v>
      </c>
      <c r="D54" s="119" t="s">
        <v>190</v>
      </c>
      <c r="E54" s="120" t="s">
        <v>188</v>
      </c>
      <c r="F54" s="1"/>
    </row>
    <row r="55" spans="1:6" s="2" customFormat="1" x14ac:dyDescent="0.2">
      <c r="A55" s="117"/>
      <c r="B55" s="118"/>
      <c r="C55" s="119"/>
      <c r="D55" s="119"/>
      <c r="E55" s="120"/>
      <c r="F55" s="1"/>
    </row>
    <row r="56" spans="1:6" s="2" customFormat="1" ht="18" customHeight="1" x14ac:dyDescent="0.2">
      <c r="A56" s="117" t="s">
        <v>191</v>
      </c>
      <c r="B56" s="118">
        <v>797.08</v>
      </c>
      <c r="C56" s="119" t="s">
        <v>192</v>
      </c>
      <c r="D56" s="119" t="s">
        <v>193</v>
      </c>
      <c r="E56" s="120" t="s">
        <v>182</v>
      </c>
      <c r="F56" s="1"/>
    </row>
    <row r="57" spans="1:6" s="2" customFormat="1" ht="14.45" customHeight="1" x14ac:dyDescent="0.2">
      <c r="A57" s="117" t="s">
        <v>194</v>
      </c>
      <c r="B57" s="118">
        <f>(55.62+60.39)</f>
        <v>116.00999999999999</v>
      </c>
      <c r="C57" s="119" t="s">
        <v>192</v>
      </c>
      <c r="D57" s="119" t="s">
        <v>183</v>
      </c>
      <c r="E57" s="120" t="s">
        <v>195</v>
      </c>
      <c r="F57" s="1"/>
    </row>
    <row r="58" spans="1:6" s="2" customFormat="1" x14ac:dyDescent="0.2">
      <c r="A58" s="117"/>
      <c r="B58" s="118"/>
      <c r="C58" s="119"/>
      <c r="D58" s="119"/>
      <c r="E58" s="120"/>
      <c r="F58" s="1"/>
    </row>
    <row r="59" spans="1:6" s="2" customFormat="1" x14ac:dyDescent="0.2">
      <c r="A59" s="117" t="s">
        <v>196</v>
      </c>
      <c r="B59" s="118">
        <f>443.66+2+2+2+2+7</f>
        <v>458.66</v>
      </c>
      <c r="C59" s="119" t="s">
        <v>197</v>
      </c>
      <c r="D59" s="119" t="s">
        <v>158</v>
      </c>
      <c r="E59" s="120" t="s">
        <v>182</v>
      </c>
      <c r="F59" s="139"/>
    </row>
    <row r="60" spans="1:6" s="2" customFormat="1" x14ac:dyDescent="0.2">
      <c r="A60" s="117" t="s">
        <v>196</v>
      </c>
      <c r="B60" s="118">
        <f>53.06+26.21+52+60.35</f>
        <v>191.62</v>
      </c>
      <c r="C60" s="119" t="s">
        <v>198</v>
      </c>
      <c r="D60" s="119" t="s">
        <v>199</v>
      </c>
      <c r="E60" s="120" t="s">
        <v>200</v>
      </c>
      <c r="F60" s="1"/>
    </row>
    <row r="61" spans="1:6" s="2" customFormat="1" x14ac:dyDescent="0.2">
      <c r="A61" s="117"/>
      <c r="B61" s="118"/>
      <c r="C61" s="119"/>
      <c r="D61" s="119"/>
      <c r="E61" s="120"/>
      <c r="F61" s="1"/>
    </row>
    <row r="62" spans="1:6" s="2" customFormat="1" x14ac:dyDescent="0.2">
      <c r="A62" s="117" t="s">
        <v>201</v>
      </c>
      <c r="B62" s="118">
        <f>419.21+2</f>
        <v>421.21</v>
      </c>
      <c r="C62" s="119" t="s">
        <v>202</v>
      </c>
      <c r="D62" s="119" t="s">
        <v>158</v>
      </c>
      <c r="E62" s="120" t="s">
        <v>182</v>
      </c>
      <c r="F62" s="1"/>
    </row>
    <row r="63" spans="1:6" s="2" customFormat="1" x14ac:dyDescent="0.2">
      <c r="A63" s="117" t="s">
        <v>201</v>
      </c>
      <c r="B63" s="118">
        <f>26.18+57.51+14.53+9.64+52.24</f>
        <v>160.1</v>
      </c>
      <c r="C63" s="119" t="s">
        <v>203</v>
      </c>
      <c r="D63" s="119" t="s">
        <v>204</v>
      </c>
      <c r="E63" s="120" t="s">
        <v>205</v>
      </c>
      <c r="F63" s="136"/>
    </row>
    <row r="64" spans="1:6" s="2" customFormat="1" x14ac:dyDescent="0.2">
      <c r="A64" s="117"/>
      <c r="B64" s="118"/>
      <c r="C64" s="119"/>
      <c r="D64" s="119"/>
      <c r="E64" s="120"/>
      <c r="F64" s="136"/>
    </row>
    <row r="65" spans="1:6" s="2" customFormat="1" x14ac:dyDescent="0.2">
      <c r="A65" s="117" t="s">
        <v>206</v>
      </c>
      <c r="B65" s="118">
        <f>312.08+243.76+2+2+2+2+22</f>
        <v>585.83999999999992</v>
      </c>
      <c r="C65" s="119" t="s">
        <v>207</v>
      </c>
      <c r="D65" s="119" t="s">
        <v>158</v>
      </c>
      <c r="E65" s="120" t="s">
        <v>182</v>
      </c>
      <c r="F65" s="136"/>
    </row>
    <row r="66" spans="1:6" s="2" customFormat="1" x14ac:dyDescent="0.2">
      <c r="A66" s="117" t="s">
        <v>208</v>
      </c>
      <c r="B66" s="118">
        <f>49.3+58.8+50.17</f>
        <v>158.26999999999998</v>
      </c>
      <c r="C66" s="119" t="s">
        <v>207</v>
      </c>
      <c r="D66" s="119" t="s">
        <v>209</v>
      </c>
      <c r="E66" s="120" t="s">
        <v>200</v>
      </c>
      <c r="F66" s="136"/>
    </row>
    <row r="67" spans="1:6" s="2" customFormat="1" x14ac:dyDescent="0.2">
      <c r="A67" s="132">
        <v>45202</v>
      </c>
      <c r="B67" s="118">
        <v>285</v>
      </c>
      <c r="C67" s="119" t="s">
        <v>210</v>
      </c>
      <c r="D67" s="119" t="s">
        <v>211</v>
      </c>
      <c r="E67" s="120" t="s">
        <v>168</v>
      </c>
      <c r="F67" s="136"/>
    </row>
    <row r="68" spans="1:6" s="2" customFormat="1" x14ac:dyDescent="0.2">
      <c r="A68" s="117"/>
      <c r="B68" s="118"/>
      <c r="C68" s="119"/>
      <c r="D68" s="119"/>
      <c r="E68" s="120"/>
      <c r="F68" s="136"/>
    </row>
    <row r="69" spans="1:6" s="2" customFormat="1" x14ac:dyDescent="0.2">
      <c r="A69" s="117" t="s">
        <v>212</v>
      </c>
      <c r="B69" s="118">
        <v>441.97</v>
      </c>
      <c r="C69" s="119" t="s">
        <v>213</v>
      </c>
      <c r="D69" s="119" t="s">
        <v>158</v>
      </c>
      <c r="E69" s="120" t="s">
        <v>182</v>
      </c>
      <c r="F69" s="136"/>
    </row>
    <row r="70" spans="1:6" s="2" customFormat="1" x14ac:dyDescent="0.2">
      <c r="A70" s="117" t="s">
        <v>212</v>
      </c>
      <c r="B70" s="118">
        <f>21.47+53.09+39.86+51.04</f>
        <v>165.46</v>
      </c>
      <c r="C70" s="119" t="s">
        <v>213</v>
      </c>
      <c r="D70" s="119" t="s">
        <v>214</v>
      </c>
      <c r="E70" s="120" t="s">
        <v>200</v>
      </c>
      <c r="F70" s="136"/>
    </row>
    <row r="71" spans="1:6" s="2" customFormat="1" x14ac:dyDescent="0.2">
      <c r="A71" s="117"/>
      <c r="B71" s="118"/>
      <c r="C71" s="119"/>
      <c r="D71" s="119"/>
      <c r="E71" s="120"/>
      <c r="F71" s="136"/>
    </row>
    <row r="72" spans="1:6" s="2" customFormat="1" x14ac:dyDescent="0.2">
      <c r="A72" s="117" t="s">
        <v>215</v>
      </c>
      <c r="B72" s="118">
        <f>337.38+161.11</f>
        <v>498.49</v>
      </c>
      <c r="C72" s="119" t="s">
        <v>216</v>
      </c>
      <c r="D72" s="119" t="s">
        <v>158</v>
      </c>
      <c r="E72" s="120" t="s">
        <v>159</v>
      </c>
      <c r="F72" s="136"/>
    </row>
    <row r="73" spans="1:6" s="2" customFormat="1" x14ac:dyDescent="0.2">
      <c r="A73" s="132" t="s">
        <v>215</v>
      </c>
      <c r="B73" s="118">
        <v>230.62</v>
      </c>
      <c r="C73" s="119" t="s">
        <v>216</v>
      </c>
      <c r="D73" s="119" t="s">
        <v>217</v>
      </c>
      <c r="E73" s="120" t="s">
        <v>188</v>
      </c>
      <c r="F73" s="136"/>
    </row>
    <row r="74" spans="1:6" s="2" customFormat="1" x14ac:dyDescent="0.2">
      <c r="A74" s="132" t="s">
        <v>215</v>
      </c>
      <c r="B74" s="118">
        <f>63.58+26.82+44.2</f>
        <v>134.60000000000002</v>
      </c>
      <c r="C74" s="119" t="s">
        <v>216</v>
      </c>
      <c r="D74" s="119" t="s">
        <v>209</v>
      </c>
      <c r="E74" s="120" t="s">
        <v>195</v>
      </c>
      <c r="F74" s="136"/>
    </row>
    <row r="75" spans="1:6" s="2" customFormat="1" x14ac:dyDescent="0.2">
      <c r="A75" s="132"/>
      <c r="B75" s="118"/>
      <c r="C75" s="119"/>
      <c r="D75" s="119"/>
      <c r="E75" s="120"/>
      <c r="F75" s="1"/>
    </row>
    <row r="76" spans="1:6" s="2" customFormat="1" x14ac:dyDescent="0.2">
      <c r="A76" s="132">
        <v>45225</v>
      </c>
      <c r="B76" s="118">
        <f>551.63+2+2</f>
        <v>555.63</v>
      </c>
      <c r="C76" s="119" t="s">
        <v>218</v>
      </c>
      <c r="D76" s="119" t="s">
        <v>158</v>
      </c>
      <c r="E76" s="120" t="s">
        <v>159</v>
      </c>
      <c r="F76" s="1"/>
    </row>
    <row r="77" spans="1:6" s="2" customFormat="1" x14ac:dyDescent="0.2">
      <c r="A77" s="132">
        <v>45225</v>
      </c>
      <c r="B77" s="118">
        <v>60</v>
      </c>
      <c r="C77" s="119" t="s">
        <v>218</v>
      </c>
      <c r="D77" s="119" t="s">
        <v>219</v>
      </c>
      <c r="E77" s="120" t="s">
        <v>220</v>
      </c>
      <c r="F77" s="136"/>
    </row>
    <row r="78" spans="1:6" s="2" customFormat="1" x14ac:dyDescent="0.2">
      <c r="A78" s="132"/>
      <c r="B78" s="118"/>
      <c r="C78" s="119"/>
      <c r="D78" s="119"/>
      <c r="E78" s="120"/>
      <c r="F78" s="136"/>
    </row>
    <row r="79" spans="1:6" s="2" customFormat="1" x14ac:dyDescent="0.2">
      <c r="A79" s="132" t="s">
        <v>221</v>
      </c>
      <c r="B79" s="118">
        <f>181.34+198.21</f>
        <v>379.55</v>
      </c>
      <c r="C79" s="119" t="s">
        <v>222</v>
      </c>
      <c r="D79" s="119" t="s">
        <v>158</v>
      </c>
      <c r="E79" s="120" t="s">
        <v>159</v>
      </c>
      <c r="F79" s="136"/>
    </row>
    <row r="80" spans="1:6" s="2" customFormat="1" x14ac:dyDescent="0.2">
      <c r="A80" s="132" t="s">
        <v>221</v>
      </c>
      <c r="B80" s="118">
        <v>452.17</v>
      </c>
      <c r="C80" s="119" t="s">
        <v>222</v>
      </c>
      <c r="D80" s="119" t="s">
        <v>223</v>
      </c>
      <c r="E80" s="120" t="s">
        <v>188</v>
      </c>
      <c r="F80" s="136"/>
    </row>
    <row r="81" spans="1:6" s="2" customFormat="1" x14ac:dyDescent="0.2">
      <c r="A81" s="132" t="s">
        <v>221</v>
      </c>
      <c r="B81" s="118">
        <f>56.43+21.08+59.12</f>
        <v>136.63</v>
      </c>
      <c r="C81" s="119" t="s">
        <v>222</v>
      </c>
      <c r="D81" s="119" t="s">
        <v>224</v>
      </c>
      <c r="E81" s="120" t="s">
        <v>188</v>
      </c>
      <c r="F81" s="136"/>
    </row>
    <row r="82" spans="1:6" s="2" customFormat="1" x14ac:dyDescent="0.2">
      <c r="A82" s="132"/>
      <c r="B82" s="118"/>
      <c r="C82" s="119"/>
      <c r="D82" s="119"/>
      <c r="E82" s="120"/>
      <c r="F82" s="136"/>
    </row>
    <row r="83" spans="1:6" s="2" customFormat="1" ht="15.75" customHeight="1" x14ac:dyDescent="0.2">
      <c r="A83" s="132">
        <v>45237</v>
      </c>
      <c r="B83" s="118">
        <f>342.56+2</f>
        <v>344.56</v>
      </c>
      <c r="C83" s="119" t="s">
        <v>225</v>
      </c>
      <c r="D83" s="119" t="s">
        <v>158</v>
      </c>
      <c r="E83" s="120" t="s">
        <v>226</v>
      </c>
      <c r="F83" s="136"/>
    </row>
    <row r="84" spans="1:6" s="2" customFormat="1" ht="15.75" customHeight="1" x14ac:dyDescent="0.2">
      <c r="A84" s="132">
        <v>45237</v>
      </c>
      <c r="B84" s="118">
        <v>60</v>
      </c>
      <c r="C84" s="119" t="s">
        <v>225</v>
      </c>
      <c r="D84" s="119" t="s">
        <v>227</v>
      </c>
      <c r="E84" s="120" t="s">
        <v>228</v>
      </c>
      <c r="F84" s="136"/>
    </row>
    <row r="85" spans="1:6" s="2" customFormat="1" x14ac:dyDescent="0.2">
      <c r="A85" s="132"/>
      <c r="B85" s="118"/>
      <c r="C85" s="119"/>
      <c r="D85" s="119"/>
      <c r="E85" s="120"/>
      <c r="F85" s="136"/>
    </row>
    <row r="86" spans="1:6" s="2" customFormat="1" x14ac:dyDescent="0.2">
      <c r="A86" s="132" t="s">
        <v>229</v>
      </c>
      <c r="B86" s="118">
        <f>494.27+7+2</f>
        <v>503.27</v>
      </c>
      <c r="C86" s="119" t="s">
        <v>230</v>
      </c>
      <c r="D86" s="119" t="s">
        <v>158</v>
      </c>
      <c r="E86" s="120" t="s">
        <v>159</v>
      </c>
      <c r="F86" s="136"/>
    </row>
    <row r="87" spans="1:6" s="2" customFormat="1" x14ac:dyDescent="0.2">
      <c r="A87" s="132" t="s">
        <v>229</v>
      </c>
      <c r="B87" s="118">
        <v>226.09</v>
      </c>
      <c r="C87" s="119" t="s">
        <v>230</v>
      </c>
      <c r="D87" s="119" t="s">
        <v>231</v>
      </c>
      <c r="E87" s="120" t="s">
        <v>188</v>
      </c>
      <c r="F87" s="136"/>
    </row>
    <row r="88" spans="1:6" s="2" customFormat="1" x14ac:dyDescent="0.2">
      <c r="A88" s="132" t="s">
        <v>229</v>
      </c>
      <c r="B88" s="118">
        <f>66.68+52.95+29.44+56.78</f>
        <v>205.85000000000002</v>
      </c>
      <c r="C88" s="119" t="s">
        <v>230</v>
      </c>
      <c r="D88" s="119" t="s">
        <v>232</v>
      </c>
      <c r="E88" s="120" t="s">
        <v>188</v>
      </c>
      <c r="F88" s="136"/>
    </row>
    <row r="89" spans="1:6" s="2" customFormat="1" x14ac:dyDescent="0.2">
      <c r="A89" s="132"/>
      <c r="B89" s="118"/>
      <c r="C89" s="119"/>
      <c r="D89" s="119"/>
      <c r="E89" s="120"/>
      <c r="F89" s="136"/>
    </row>
    <row r="90" spans="1:6" s="2" customFormat="1" x14ac:dyDescent="0.2">
      <c r="A90" s="132" t="s">
        <v>233</v>
      </c>
      <c r="B90" s="118">
        <f>337.38+26+22</f>
        <v>385.38</v>
      </c>
      <c r="C90" s="119" t="s">
        <v>234</v>
      </c>
      <c r="D90" s="119" t="s">
        <v>158</v>
      </c>
      <c r="E90" s="120" t="s">
        <v>235</v>
      </c>
      <c r="F90" s="136"/>
    </row>
    <row r="91" spans="1:6" s="2" customFormat="1" x14ac:dyDescent="0.2">
      <c r="A91" s="132" t="s">
        <v>233</v>
      </c>
      <c r="B91" s="118">
        <v>461.22</v>
      </c>
      <c r="C91" s="119" t="s">
        <v>234</v>
      </c>
      <c r="D91" s="119" t="s">
        <v>236</v>
      </c>
      <c r="E91" s="120" t="s">
        <v>188</v>
      </c>
      <c r="F91" s="136"/>
    </row>
    <row r="92" spans="1:6" s="2" customFormat="1" x14ac:dyDescent="0.2">
      <c r="A92" s="132" t="s">
        <v>233</v>
      </c>
      <c r="B92" s="118">
        <f>57.02+57.18</f>
        <v>114.2</v>
      </c>
      <c r="C92" s="119" t="s">
        <v>234</v>
      </c>
      <c r="D92" s="119" t="s">
        <v>237</v>
      </c>
      <c r="E92" s="120" t="s">
        <v>238</v>
      </c>
      <c r="F92" s="136"/>
    </row>
    <row r="93" spans="1:6" s="2" customFormat="1" x14ac:dyDescent="0.2">
      <c r="A93" s="132"/>
      <c r="B93" s="118"/>
      <c r="C93" s="119"/>
      <c r="D93" s="119"/>
      <c r="E93" s="120"/>
      <c r="F93" s="1"/>
    </row>
    <row r="94" spans="1:6" s="2" customFormat="1" x14ac:dyDescent="0.2">
      <c r="A94" s="132">
        <v>45260</v>
      </c>
      <c r="B94" s="118">
        <f>718.64</f>
        <v>718.64</v>
      </c>
      <c r="C94" s="119" t="s">
        <v>239</v>
      </c>
      <c r="D94" s="119" t="s">
        <v>150</v>
      </c>
      <c r="E94" s="120" t="s">
        <v>159</v>
      </c>
      <c r="F94" s="1"/>
    </row>
    <row r="95" spans="1:6" s="2" customFormat="1" x14ac:dyDescent="0.2">
      <c r="A95" s="132">
        <v>45260</v>
      </c>
      <c r="B95" s="118">
        <v>55.41</v>
      </c>
      <c r="C95" s="119" t="s">
        <v>239</v>
      </c>
      <c r="D95" s="119" t="s">
        <v>183</v>
      </c>
      <c r="E95" s="120" t="s">
        <v>179</v>
      </c>
      <c r="F95" s="136"/>
    </row>
    <row r="96" spans="1:6" s="2" customFormat="1" x14ac:dyDescent="0.2">
      <c r="A96" s="132"/>
      <c r="B96" s="118"/>
      <c r="C96" s="119"/>
      <c r="D96" s="119"/>
      <c r="E96" s="120"/>
      <c r="F96" s="136"/>
    </row>
    <row r="97" spans="1:6" s="2" customFormat="1" x14ac:dyDescent="0.2">
      <c r="A97" s="132" t="s">
        <v>240</v>
      </c>
      <c r="B97" s="118">
        <f>510.3+2</f>
        <v>512.29999999999995</v>
      </c>
      <c r="C97" s="119" t="s">
        <v>241</v>
      </c>
      <c r="D97" s="119" t="s">
        <v>158</v>
      </c>
      <c r="E97" s="120" t="s">
        <v>242</v>
      </c>
      <c r="F97" s="136"/>
    </row>
    <row r="98" spans="1:6" s="2" customFormat="1" x14ac:dyDescent="0.2">
      <c r="A98" s="132" t="s">
        <v>240</v>
      </c>
      <c r="B98" s="118">
        <v>452.18</v>
      </c>
      <c r="C98" s="119" t="s">
        <v>241</v>
      </c>
      <c r="D98" s="119" t="s">
        <v>243</v>
      </c>
      <c r="E98" s="120" t="s">
        <v>205</v>
      </c>
      <c r="F98" s="136"/>
    </row>
    <row r="99" spans="1:6" s="2" customFormat="1" x14ac:dyDescent="0.2">
      <c r="A99" s="132" t="s">
        <v>240</v>
      </c>
      <c r="B99" s="118">
        <f>55.74+55.88</f>
        <v>111.62</v>
      </c>
      <c r="C99" s="119" t="s">
        <v>241</v>
      </c>
      <c r="D99" s="119" t="s">
        <v>183</v>
      </c>
      <c r="E99" s="120" t="s">
        <v>220</v>
      </c>
      <c r="F99" s="136"/>
    </row>
    <row r="100" spans="1:6" s="2" customFormat="1" x14ac:dyDescent="0.2">
      <c r="A100" s="132"/>
      <c r="B100" s="118"/>
      <c r="C100" s="119"/>
      <c r="D100" s="119"/>
      <c r="E100" s="120"/>
      <c r="F100" s="136"/>
    </row>
    <row r="101" spans="1:6" s="2" customFormat="1" x14ac:dyDescent="0.2">
      <c r="A101" s="132" t="s">
        <v>244</v>
      </c>
      <c r="B101" s="118">
        <f>295.22+227.73+25+2+2</f>
        <v>551.95000000000005</v>
      </c>
      <c r="C101" s="119" t="s">
        <v>245</v>
      </c>
      <c r="D101" s="119" t="s">
        <v>158</v>
      </c>
      <c r="E101" s="120" t="s">
        <v>159</v>
      </c>
      <c r="F101" s="140"/>
    </row>
    <row r="102" spans="1:6" s="2" customFormat="1" x14ac:dyDescent="0.2">
      <c r="A102" s="132" t="s">
        <v>244</v>
      </c>
      <c r="B102" s="118">
        <v>226.09</v>
      </c>
      <c r="C102" s="119" t="s">
        <v>245</v>
      </c>
      <c r="D102" s="119" t="s">
        <v>217</v>
      </c>
      <c r="E102" s="120" t="s">
        <v>188</v>
      </c>
      <c r="F102" s="136"/>
    </row>
    <row r="103" spans="1:6" s="2" customFormat="1" x14ac:dyDescent="0.2">
      <c r="A103" s="132" t="s">
        <v>244</v>
      </c>
      <c r="B103" s="118">
        <f>22.26+19.44+61.98+9.11+18.34+54.18</f>
        <v>185.31</v>
      </c>
      <c r="C103" s="119" t="s">
        <v>245</v>
      </c>
      <c r="D103" s="119" t="s">
        <v>246</v>
      </c>
      <c r="E103" s="120" t="s">
        <v>188</v>
      </c>
      <c r="F103" s="141"/>
    </row>
    <row r="104" spans="1:6" s="2" customFormat="1" x14ac:dyDescent="0.2">
      <c r="A104" s="132"/>
      <c r="B104" s="118"/>
      <c r="C104" s="119"/>
      <c r="D104" s="119"/>
      <c r="E104" s="120"/>
      <c r="F104" s="136"/>
    </row>
    <row r="105" spans="1:6" s="2" customFormat="1" x14ac:dyDescent="0.2">
      <c r="A105" s="132" t="s">
        <v>247</v>
      </c>
      <c r="B105" s="118">
        <f>279.19+359.32+2+22+2+22</f>
        <v>686.51</v>
      </c>
      <c r="C105" s="119" t="s">
        <v>248</v>
      </c>
      <c r="D105" s="119" t="s">
        <v>158</v>
      </c>
      <c r="E105" s="120" t="s">
        <v>182</v>
      </c>
      <c r="F105" s="136"/>
    </row>
    <row r="106" spans="1:6" s="2" customFormat="1" x14ac:dyDescent="0.2">
      <c r="A106" s="132" t="s">
        <v>247</v>
      </c>
      <c r="B106" s="118">
        <v>452.17</v>
      </c>
      <c r="C106" s="119" t="s">
        <v>248</v>
      </c>
      <c r="D106" s="119" t="s">
        <v>249</v>
      </c>
      <c r="E106" s="120" t="s">
        <v>188</v>
      </c>
      <c r="F106" s="136"/>
    </row>
    <row r="107" spans="1:6" s="2" customFormat="1" x14ac:dyDescent="0.2">
      <c r="A107" s="132" t="s">
        <v>247</v>
      </c>
      <c r="B107" s="118">
        <f>55.25+25.81</f>
        <v>81.06</v>
      </c>
      <c r="C107" s="119" t="s">
        <v>248</v>
      </c>
      <c r="D107" s="119" t="s">
        <v>250</v>
      </c>
      <c r="E107" s="120" t="s">
        <v>188</v>
      </c>
      <c r="F107" s="136"/>
    </row>
    <row r="108" spans="1:6" s="2" customFormat="1" x14ac:dyDescent="0.2">
      <c r="A108" s="132"/>
      <c r="B108" s="118"/>
      <c r="C108" s="119"/>
      <c r="D108" s="119"/>
      <c r="E108" s="120"/>
      <c r="F108" s="136"/>
    </row>
    <row r="109" spans="1:6" s="2" customFormat="1" x14ac:dyDescent="0.2">
      <c r="A109" s="132" t="s">
        <v>251</v>
      </c>
      <c r="B109" s="118">
        <v>215.08</v>
      </c>
      <c r="C109" s="119" t="s">
        <v>252</v>
      </c>
      <c r="D109" s="119" t="s">
        <v>158</v>
      </c>
      <c r="E109" s="120" t="s">
        <v>159</v>
      </c>
      <c r="F109" s="136"/>
    </row>
    <row r="110" spans="1:6" s="2" customFormat="1" x14ac:dyDescent="0.2">
      <c r="A110" s="132" t="s">
        <v>251</v>
      </c>
      <c r="B110" s="118">
        <v>461.23</v>
      </c>
      <c r="C110" s="119" t="s">
        <v>252</v>
      </c>
      <c r="D110" s="119" t="s">
        <v>249</v>
      </c>
      <c r="E110" s="120" t="s">
        <v>253</v>
      </c>
      <c r="F110" s="136"/>
    </row>
    <row r="111" spans="1:6" s="2" customFormat="1" x14ac:dyDescent="0.2">
      <c r="A111" s="132" t="s">
        <v>251</v>
      </c>
      <c r="B111" s="118">
        <f>45.74+55.19+51.7</f>
        <v>152.63</v>
      </c>
      <c r="C111" s="119" t="s">
        <v>252</v>
      </c>
      <c r="D111" s="119" t="s">
        <v>254</v>
      </c>
      <c r="E111" s="120" t="s">
        <v>188</v>
      </c>
      <c r="F111" s="136"/>
    </row>
    <row r="112" spans="1:6" s="2" customFormat="1" x14ac:dyDescent="0.2">
      <c r="A112" s="132"/>
      <c r="B112" s="118"/>
      <c r="C112" s="119"/>
      <c r="D112" s="119"/>
      <c r="E112" s="120"/>
      <c r="F112" s="136"/>
    </row>
    <row r="113" spans="1:6" s="2" customFormat="1" x14ac:dyDescent="0.2">
      <c r="A113" s="117" t="s">
        <v>255</v>
      </c>
      <c r="B113" s="118">
        <f>443.66+21.93+221.85+2+2+22+2</f>
        <v>715.44</v>
      </c>
      <c r="C113" s="119" t="s">
        <v>256</v>
      </c>
      <c r="D113" s="119" t="s">
        <v>158</v>
      </c>
      <c r="E113" s="120" t="s">
        <v>159</v>
      </c>
      <c r="F113" s="136"/>
    </row>
    <row r="114" spans="1:6" s="2" customFormat="1" x14ac:dyDescent="0.2">
      <c r="A114" s="117" t="s">
        <v>255</v>
      </c>
      <c r="B114" s="118">
        <v>226.08</v>
      </c>
      <c r="C114" s="119" t="s">
        <v>257</v>
      </c>
      <c r="D114" s="119" t="s">
        <v>258</v>
      </c>
      <c r="E114" s="120" t="s">
        <v>188</v>
      </c>
      <c r="F114" s="136"/>
    </row>
    <row r="115" spans="1:6" s="2" customFormat="1" x14ac:dyDescent="0.2">
      <c r="A115" s="117" t="s">
        <v>255</v>
      </c>
      <c r="B115" s="118">
        <f>56.28+60.01</f>
        <v>116.28999999999999</v>
      </c>
      <c r="C115" s="119" t="s">
        <v>257</v>
      </c>
      <c r="D115" s="119" t="s">
        <v>259</v>
      </c>
      <c r="E115" s="120" t="s">
        <v>188</v>
      </c>
      <c r="F115" s="136"/>
    </row>
    <row r="116" spans="1:6" s="2" customFormat="1" x14ac:dyDescent="0.2">
      <c r="A116" s="117"/>
      <c r="B116" s="118"/>
      <c r="C116" s="119"/>
      <c r="D116" s="119"/>
      <c r="E116" s="120"/>
      <c r="F116" s="136"/>
    </row>
    <row r="117" spans="1:6" s="2" customFormat="1" x14ac:dyDescent="0.2">
      <c r="A117" s="117" t="s">
        <v>260</v>
      </c>
      <c r="B117" s="118">
        <f>420.04+97.85+22+2</f>
        <v>541.89</v>
      </c>
      <c r="C117" s="119" t="s">
        <v>252</v>
      </c>
      <c r="D117" s="119" t="s">
        <v>158</v>
      </c>
      <c r="E117" s="120" t="s">
        <v>159</v>
      </c>
      <c r="F117" s="136"/>
    </row>
    <row r="118" spans="1:6" s="2" customFormat="1" x14ac:dyDescent="0.2">
      <c r="A118" s="117" t="s">
        <v>260</v>
      </c>
      <c r="B118" s="118">
        <v>226.1</v>
      </c>
      <c r="C118" s="119" t="s">
        <v>252</v>
      </c>
      <c r="D118" s="119" t="s">
        <v>217</v>
      </c>
      <c r="E118" s="120" t="s">
        <v>188</v>
      </c>
      <c r="F118" s="136"/>
    </row>
    <row r="119" spans="1:6" s="2" customFormat="1" x14ac:dyDescent="0.2">
      <c r="A119" s="117" t="s">
        <v>260</v>
      </c>
      <c r="B119" s="118">
        <f>54.26+21.5+14.04+60.45</f>
        <v>150.25</v>
      </c>
      <c r="C119" s="119" t="s">
        <v>252</v>
      </c>
      <c r="D119" s="119" t="s">
        <v>214</v>
      </c>
      <c r="E119" s="120" t="s">
        <v>195</v>
      </c>
      <c r="F119" s="136"/>
    </row>
    <row r="120" spans="1:6" s="2" customFormat="1" x14ac:dyDescent="0.2">
      <c r="A120" s="117"/>
      <c r="B120" s="118"/>
      <c r="C120" s="119"/>
      <c r="D120" s="119"/>
      <c r="E120" s="120"/>
      <c r="F120" s="136"/>
    </row>
    <row r="121" spans="1:6" s="2" customFormat="1" x14ac:dyDescent="0.2">
      <c r="A121" s="117" t="s">
        <v>261</v>
      </c>
      <c r="B121" s="118">
        <f>198.21</f>
        <v>198.21</v>
      </c>
      <c r="C121" s="119" t="s">
        <v>252</v>
      </c>
      <c r="D121" s="119" t="s">
        <v>262</v>
      </c>
      <c r="E121" s="120" t="s">
        <v>263</v>
      </c>
      <c r="F121" s="136"/>
    </row>
    <row r="122" spans="1:6" s="2" customFormat="1" x14ac:dyDescent="0.2">
      <c r="A122" s="117" t="s">
        <v>261</v>
      </c>
      <c r="B122" s="118">
        <f>26.72+8.8+52.86</f>
        <v>88.38</v>
      </c>
      <c r="C122" s="119" t="s">
        <v>252</v>
      </c>
      <c r="D122" s="119" t="s">
        <v>209</v>
      </c>
      <c r="E122" s="120" t="s">
        <v>200</v>
      </c>
      <c r="F122" s="136"/>
    </row>
    <row r="123" spans="1:6" s="2" customFormat="1" x14ac:dyDescent="0.2">
      <c r="A123" s="117"/>
      <c r="B123" s="118"/>
      <c r="C123" s="119"/>
      <c r="D123" s="119"/>
      <c r="E123" s="120"/>
      <c r="F123" s="136"/>
    </row>
    <row r="124" spans="1:6" s="2" customFormat="1" x14ac:dyDescent="0.2">
      <c r="A124" s="117" t="s">
        <v>264</v>
      </c>
      <c r="B124" s="118">
        <f>337.38</f>
        <v>337.38</v>
      </c>
      <c r="C124" s="119" t="s">
        <v>265</v>
      </c>
      <c r="D124" s="119" t="s">
        <v>158</v>
      </c>
      <c r="E124" s="120" t="s">
        <v>159</v>
      </c>
      <c r="F124" s="136"/>
    </row>
    <row r="125" spans="1:6" s="2" customFormat="1" x14ac:dyDescent="0.2">
      <c r="A125" s="117" t="s">
        <v>264</v>
      </c>
      <c r="B125" s="118">
        <v>226.1</v>
      </c>
      <c r="C125" s="119" t="s">
        <v>265</v>
      </c>
      <c r="D125" s="119" t="s">
        <v>217</v>
      </c>
      <c r="E125" s="120" t="s">
        <v>188</v>
      </c>
      <c r="F125" s="136"/>
    </row>
    <row r="126" spans="1:6" s="2" customFormat="1" x14ac:dyDescent="0.2">
      <c r="A126" s="117" t="s">
        <v>264</v>
      </c>
      <c r="B126" s="118">
        <f>18.78+61.57+51.44+53.79</f>
        <v>185.57999999999998</v>
      </c>
      <c r="C126" s="119" t="s">
        <v>265</v>
      </c>
      <c r="D126" s="119" t="s">
        <v>209</v>
      </c>
      <c r="E126" s="120" t="s">
        <v>266</v>
      </c>
      <c r="F126" s="136"/>
    </row>
    <row r="127" spans="1:6" s="2" customFormat="1" x14ac:dyDescent="0.2">
      <c r="A127" s="117"/>
      <c r="B127" s="118"/>
      <c r="C127" s="119"/>
      <c r="D127" s="119"/>
      <c r="E127" s="120"/>
      <c r="F127" s="136"/>
    </row>
    <row r="128" spans="1:6" s="2" customFormat="1" x14ac:dyDescent="0.2">
      <c r="A128" s="132">
        <v>45348</v>
      </c>
      <c r="B128" s="118">
        <f>594.66+22+2</f>
        <v>618.66</v>
      </c>
      <c r="C128" s="119" t="s">
        <v>267</v>
      </c>
      <c r="D128" s="119" t="s">
        <v>158</v>
      </c>
      <c r="E128" s="120" t="s">
        <v>159</v>
      </c>
      <c r="F128" s="136"/>
    </row>
    <row r="129" spans="1:6" s="2" customFormat="1" x14ac:dyDescent="0.2">
      <c r="A129" s="132">
        <v>45348</v>
      </c>
      <c r="B129" s="118">
        <f>8.8+30.57+70.43</f>
        <v>109.80000000000001</v>
      </c>
      <c r="C129" s="119" t="s">
        <v>267</v>
      </c>
      <c r="D129" s="119" t="s">
        <v>178</v>
      </c>
      <c r="E129" s="120" t="s">
        <v>188</v>
      </c>
      <c r="F129" s="136"/>
    </row>
    <row r="130" spans="1:6" s="2" customFormat="1" x14ac:dyDescent="0.2">
      <c r="A130" s="132">
        <v>45348</v>
      </c>
      <c r="B130" s="118">
        <v>48.71</v>
      </c>
      <c r="C130" s="119" t="s">
        <v>267</v>
      </c>
      <c r="D130" s="119" t="s">
        <v>268</v>
      </c>
      <c r="E130" s="120" t="s">
        <v>228</v>
      </c>
      <c r="F130" s="136"/>
    </row>
    <row r="131" spans="1:6" s="2" customFormat="1" x14ac:dyDescent="0.2">
      <c r="A131" s="117"/>
      <c r="B131" s="118"/>
      <c r="C131" s="119"/>
      <c r="D131" s="119"/>
      <c r="E131" s="120"/>
      <c r="F131" s="136"/>
    </row>
    <row r="132" spans="1:6" s="2" customFormat="1" x14ac:dyDescent="0.2">
      <c r="A132" s="117" t="s">
        <v>269</v>
      </c>
      <c r="B132" s="118">
        <f>156.05+175.45+172.07</f>
        <v>503.57</v>
      </c>
      <c r="C132" s="119" t="s">
        <v>270</v>
      </c>
      <c r="D132" s="119" t="s">
        <v>271</v>
      </c>
      <c r="E132" s="120" t="s">
        <v>159</v>
      </c>
      <c r="F132" s="136"/>
    </row>
    <row r="133" spans="1:6" s="2" customFormat="1" x14ac:dyDescent="0.2">
      <c r="A133" s="117" t="s">
        <v>269</v>
      </c>
      <c r="B133" s="118">
        <v>452.17</v>
      </c>
      <c r="C133" s="119" t="s">
        <v>270</v>
      </c>
      <c r="D133" s="119" t="s">
        <v>272</v>
      </c>
      <c r="E133" s="120" t="s">
        <v>188</v>
      </c>
      <c r="F133" s="136"/>
    </row>
    <row r="134" spans="1:6" s="2" customFormat="1" x14ac:dyDescent="0.2">
      <c r="A134" s="117" t="s">
        <v>269</v>
      </c>
      <c r="B134" s="118">
        <f>45.14+56.16</f>
        <v>101.3</v>
      </c>
      <c r="C134" s="119" t="s">
        <v>270</v>
      </c>
      <c r="D134" s="119" t="s">
        <v>209</v>
      </c>
      <c r="E134" s="120" t="s">
        <v>188</v>
      </c>
      <c r="F134" s="136"/>
    </row>
    <row r="135" spans="1:6" s="2" customFormat="1" x14ac:dyDescent="0.2">
      <c r="A135" s="132"/>
      <c r="B135" s="118"/>
      <c r="C135" s="119"/>
      <c r="D135" s="119"/>
      <c r="E135" s="120"/>
      <c r="F135" s="136"/>
    </row>
    <row r="136" spans="1:6" s="2" customFormat="1" x14ac:dyDescent="0.2">
      <c r="A136" s="132" t="s">
        <v>273</v>
      </c>
      <c r="B136" s="118">
        <f>625.86+22+2</f>
        <v>649.86</v>
      </c>
      <c r="C136" s="119" t="s">
        <v>274</v>
      </c>
      <c r="D136" s="119" t="s">
        <v>158</v>
      </c>
      <c r="E136" s="120" t="s">
        <v>159</v>
      </c>
      <c r="F136" s="136"/>
    </row>
    <row r="137" spans="1:6" s="2" customFormat="1" x14ac:dyDescent="0.2">
      <c r="A137" s="132" t="s">
        <v>273</v>
      </c>
      <c r="B137" s="118">
        <v>226.1</v>
      </c>
      <c r="C137" s="119" t="s">
        <v>274</v>
      </c>
      <c r="D137" s="119" t="s">
        <v>217</v>
      </c>
      <c r="E137" s="120" t="s">
        <v>188</v>
      </c>
      <c r="F137" s="136"/>
    </row>
    <row r="138" spans="1:6" s="2" customFormat="1" x14ac:dyDescent="0.2">
      <c r="A138" s="132" t="s">
        <v>273</v>
      </c>
      <c r="B138" s="118">
        <v>89.56</v>
      </c>
      <c r="C138" s="119" t="s">
        <v>274</v>
      </c>
      <c r="D138" s="119" t="s">
        <v>275</v>
      </c>
      <c r="E138" s="120" t="s">
        <v>276</v>
      </c>
      <c r="F138" s="136"/>
    </row>
    <row r="139" spans="1:6" s="2" customFormat="1" x14ac:dyDescent="0.2">
      <c r="A139" s="132" t="s">
        <v>273</v>
      </c>
      <c r="B139" s="118">
        <f>31.47+25.52</f>
        <v>56.989999999999995</v>
      </c>
      <c r="C139" s="119" t="s">
        <v>274</v>
      </c>
      <c r="D139" s="119" t="s">
        <v>209</v>
      </c>
      <c r="E139" s="120" t="s">
        <v>277</v>
      </c>
      <c r="F139" s="136"/>
    </row>
    <row r="140" spans="1:6" s="2" customFormat="1" x14ac:dyDescent="0.2">
      <c r="A140" s="132"/>
      <c r="B140" s="118"/>
      <c r="C140" s="119"/>
      <c r="D140" s="119"/>
      <c r="E140" s="120"/>
      <c r="F140" s="136"/>
    </row>
    <row r="141" spans="1:6" s="2" customFormat="1" x14ac:dyDescent="0.2">
      <c r="A141" s="132" t="s">
        <v>278</v>
      </c>
      <c r="B141" s="118">
        <f>396.42-0.2+22+2+2+2+2+2+2+2+2+129.91</f>
        <v>564.13</v>
      </c>
      <c r="C141" s="119" t="s">
        <v>279</v>
      </c>
      <c r="D141" s="119" t="s">
        <v>280</v>
      </c>
      <c r="E141" s="120" t="s">
        <v>159</v>
      </c>
      <c r="F141" s="136"/>
    </row>
    <row r="142" spans="1:6" s="2" customFormat="1" x14ac:dyDescent="0.2">
      <c r="A142" s="132" t="s">
        <v>278</v>
      </c>
      <c r="B142" s="118">
        <v>461.27</v>
      </c>
      <c r="C142" s="119" t="s">
        <v>279</v>
      </c>
      <c r="D142" s="119" t="s">
        <v>236</v>
      </c>
      <c r="E142" s="120" t="s">
        <v>253</v>
      </c>
      <c r="F142" s="136"/>
    </row>
    <row r="143" spans="1:6" s="2" customFormat="1" x14ac:dyDescent="0.2">
      <c r="A143" s="132" t="s">
        <v>278</v>
      </c>
      <c r="B143" s="118">
        <f>56.34+14.42+49.5+53.45</f>
        <v>173.71</v>
      </c>
      <c r="C143" s="119" t="s">
        <v>279</v>
      </c>
      <c r="D143" s="119" t="s">
        <v>281</v>
      </c>
      <c r="E143" s="120" t="s">
        <v>282</v>
      </c>
      <c r="F143" s="136"/>
    </row>
    <row r="144" spans="1:6" s="2" customFormat="1" x14ac:dyDescent="0.2">
      <c r="A144" s="132"/>
      <c r="B144" s="118"/>
      <c r="C144" s="119"/>
      <c r="D144" s="119"/>
      <c r="E144" s="120"/>
      <c r="F144" s="136"/>
    </row>
    <row r="145" spans="1:6" s="2" customFormat="1" x14ac:dyDescent="0.2">
      <c r="A145" s="132" t="s">
        <v>283</v>
      </c>
      <c r="B145" s="118">
        <f>91.09+2+367.76+22+22</f>
        <v>504.85</v>
      </c>
      <c r="C145" s="119" t="s">
        <v>284</v>
      </c>
      <c r="D145" s="119" t="s">
        <v>158</v>
      </c>
      <c r="E145" s="120" t="s">
        <v>159</v>
      </c>
      <c r="F145" s="136"/>
    </row>
    <row r="146" spans="1:6" s="2" customFormat="1" x14ac:dyDescent="0.2">
      <c r="A146" s="132" t="s">
        <v>283</v>
      </c>
      <c r="B146" s="118">
        <v>226.09</v>
      </c>
      <c r="C146" s="119" t="s">
        <v>284</v>
      </c>
      <c r="D146" s="119" t="s">
        <v>217</v>
      </c>
      <c r="E146" s="120" t="s">
        <v>188</v>
      </c>
      <c r="F146" s="136"/>
    </row>
    <row r="147" spans="1:6" s="2" customFormat="1" x14ac:dyDescent="0.2">
      <c r="A147" s="132" t="s">
        <v>283</v>
      </c>
      <c r="B147" s="118">
        <f>52.63+14.26+20.97+56.52+35.75</f>
        <v>180.13</v>
      </c>
      <c r="C147" s="119" t="s">
        <v>284</v>
      </c>
      <c r="D147" s="119" t="s">
        <v>285</v>
      </c>
      <c r="E147" s="120" t="s">
        <v>195</v>
      </c>
      <c r="F147" s="136"/>
    </row>
    <row r="148" spans="1:6" s="2" customFormat="1" x14ac:dyDescent="0.2">
      <c r="A148" s="132"/>
      <c r="B148" s="118"/>
      <c r="C148" s="119"/>
      <c r="D148" s="119"/>
      <c r="E148" s="120"/>
      <c r="F148" s="136"/>
    </row>
    <row r="149" spans="1:6" s="2" customFormat="1" x14ac:dyDescent="0.2">
      <c r="A149" s="132">
        <v>45414</v>
      </c>
      <c r="B149" s="118">
        <f>386.03+2+57.95+22</f>
        <v>467.97999999999996</v>
      </c>
      <c r="C149" s="119" t="s">
        <v>286</v>
      </c>
      <c r="D149" s="119" t="s">
        <v>158</v>
      </c>
      <c r="E149" s="120" t="s">
        <v>287</v>
      </c>
      <c r="F149" s="136"/>
    </row>
    <row r="150" spans="1:6" s="2" customFormat="1" x14ac:dyDescent="0.2">
      <c r="A150" s="132">
        <v>45414</v>
      </c>
      <c r="B150" s="118">
        <v>60</v>
      </c>
      <c r="C150" s="119" t="s">
        <v>286</v>
      </c>
      <c r="D150" s="119" t="s">
        <v>288</v>
      </c>
      <c r="E150" s="120" t="s">
        <v>228</v>
      </c>
      <c r="F150" s="136"/>
    </row>
    <row r="151" spans="1:6" s="2" customFormat="1" x14ac:dyDescent="0.2">
      <c r="A151" s="132"/>
      <c r="B151" s="118"/>
      <c r="C151" s="119"/>
      <c r="D151" s="119"/>
      <c r="E151" s="120"/>
      <c r="F151" s="136"/>
    </row>
    <row r="152" spans="1:6" s="2" customFormat="1" x14ac:dyDescent="0.2">
      <c r="A152" s="132" t="s">
        <v>289</v>
      </c>
      <c r="B152" s="118">
        <f>406.05+22+20.43+45</f>
        <v>493.48</v>
      </c>
      <c r="C152" s="119" t="s">
        <v>290</v>
      </c>
      <c r="D152" s="119" t="s">
        <v>158</v>
      </c>
      <c r="E152" s="120" t="s">
        <v>291</v>
      </c>
      <c r="F152" s="136"/>
    </row>
    <row r="153" spans="1:6" s="2" customFormat="1" x14ac:dyDescent="0.2">
      <c r="A153" s="132" t="s">
        <v>292</v>
      </c>
      <c r="B153" s="118">
        <v>1356.54</v>
      </c>
      <c r="C153" s="119" t="s">
        <v>290</v>
      </c>
      <c r="D153" s="119" t="s">
        <v>293</v>
      </c>
      <c r="E153" s="120" t="s">
        <v>205</v>
      </c>
      <c r="F153" s="136"/>
    </row>
    <row r="154" spans="1:6" s="2" customFormat="1" x14ac:dyDescent="0.2">
      <c r="A154" s="132" t="s">
        <v>292</v>
      </c>
      <c r="B154" s="118">
        <f>31.26+54.67+50.63</f>
        <v>136.56</v>
      </c>
      <c r="C154" s="119" t="s">
        <v>290</v>
      </c>
      <c r="D154" s="119" t="s">
        <v>254</v>
      </c>
      <c r="E154" s="120" t="s">
        <v>205</v>
      </c>
      <c r="F154" s="136"/>
    </row>
    <row r="155" spans="1:6" s="2" customFormat="1" x14ac:dyDescent="0.2">
      <c r="A155" s="132" t="s">
        <v>294</v>
      </c>
      <c r="B155" s="118">
        <v>44.25</v>
      </c>
      <c r="C155" s="119" t="s">
        <v>295</v>
      </c>
      <c r="D155" s="119" t="s">
        <v>296</v>
      </c>
      <c r="E155" s="120" t="s">
        <v>297</v>
      </c>
      <c r="F155" s="136"/>
    </row>
    <row r="156" spans="1:6" s="2" customFormat="1" x14ac:dyDescent="0.2">
      <c r="A156" s="132" t="s">
        <v>294</v>
      </c>
      <c r="B156" s="118">
        <f>6.08+23.18</f>
        <v>29.259999999999998</v>
      </c>
      <c r="C156" s="119" t="s">
        <v>295</v>
      </c>
      <c r="D156" s="119" t="s">
        <v>139</v>
      </c>
      <c r="E156" s="120" t="s">
        <v>298</v>
      </c>
      <c r="F156" s="136"/>
    </row>
    <row r="157" spans="1:6" s="2" customFormat="1" x14ac:dyDescent="0.2">
      <c r="A157" s="132"/>
      <c r="B157" s="118"/>
      <c r="C157" s="119"/>
      <c r="D157" s="119"/>
      <c r="E157" s="120"/>
      <c r="F157" s="136"/>
    </row>
    <row r="158" spans="1:6" s="2" customFormat="1" x14ac:dyDescent="0.2">
      <c r="A158" s="132" t="s">
        <v>299</v>
      </c>
      <c r="B158" s="118">
        <f>460.54+22</f>
        <v>482.54</v>
      </c>
      <c r="C158" s="119" t="s">
        <v>300</v>
      </c>
      <c r="D158" s="119" t="s">
        <v>158</v>
      </c>
      <c r="E158" s="120" t="s">
        <v>159</v>
      </c>
      <c r="F158" s="136"/>
    </row>
    <row r="159" spans="1:6" s="2" customFormat="1" x14ac:dyDescent="0.2">
      <c r="A159" s="132" t="s">
        <v>299</v>
      </c>
      <c r="B159" s="118">
        <v>226.09</v>
      </c>
      <c r="C159" s="119" t="s">
        <v>300</v>
      </c>
      <c r="D159" s="119" t="s">
        <v>217</v>
      </c>
      <c r="E159" s="120" t="s">
        <v>205</v>
      </c>
      <c r="F159" s="136"/>
    </row>
    <row r="160" spans="1:6" s="2" customFormat="1" x14ac:dyDescent="0.2">
      <c r="A160" s="132" t="s">
        <v>299</v>
      </c>
      <c r="B160" s="118">
        <f>26.52+50.68+53.76+21.16</f>
        <v>152.12</v>
      </c>
      <c r="C160" s="119" t="s">
        <v>300</v>
      </c>
      <c r="D160" s="119" t="s">
        <v>178</v>
      </c>
      <c r="E160" s="120" t="s">
        <v>200</v>
      </c>
      <c r="F160" s="136"/>
    </row>
    <row r="161" spans="1:6" s="2" customFormat="1" x14ac:dyDescent="0.2">
      <c r="A161" s="132"/>
      <c r="B161" s="118"/>
      <c r="C161" s="119"/>
      <c r="D161" s="119"/>
      <c r="E161" s="120"/>
      <c r="F161" s="136"/>
    </row>
    <row r="162" spans="1:6" s="2" customFormat="1" x14ac:dyDescent="0.2">
      <c r="A162" s="132" t="s">
        <v>301</v>
      </c>
      <c r="B162" s="118">
        <f>458.85+45.55+2+22+2</f>
        <v>530.40000000000009</v>
      </c>
      <c r="C162" s="143" t="s">
        <v>302</v>
      </c>
      <c r="D162" s="119" t="s">
        <v>158</v>
      </c>
      <c r="E162" s="120" t="s">
        <v>159</v>
      </c>
      <c r="F162" s="136"/>
    </row>
    <row r="163" spans="1:6" s="2" customFormat="1" x14ac:dyDescent="0.2">
      <c r="A163" s="132" t="s">
        <v>301</v>
      </c>
      <c r="B163" s="118">
        <v>230.61</v>
      </c>
      <c r="C163" s="143" t="s">
        <v>302</v>
      </c>
      <c r="D163" s="119" t="s">
        <v>217</v>
      </c>
      <c r="E163" s="120" t="s">
        <v>188</v>
      </c>
      <c r="F163" s="136"/>
    </row>
    <row r="164" spans="1:6" s="2" customFormat="1" x14ac:dyDescent="0.2">
      <c r="A164" s="132" t="s">
        <v>301</v>
      </c>
      <c r="B164" s="118">
        <f>24.39</f>
        <v>24.39</v>
      </c>
      <c r="C164" s="143" t="s">
        <v>302</v>
      </c>
      <c r="D164" s="119" t="s">
        <v>183</v>
      </c>
      <c r="E164" s="120" t="s">
        <v>188</v>
      </c>
      <c r="F164" s="136"/>
    </row>
    <row r="165" spans="1:6" s="2" customFormat="1" x14ac:dyDescent="0.2">
      <c r="A165" s="132" t="s">
        <v>301</v>
      </c>
      <c r="B165" s="118">
        <v>89.56</v>
      </c>
      <c r="C165" s="143" t="s">
        <v>303</v>
      </c>
      <c r="D165" s="119" t="s">
        <v>304</v>
      </c>
      <c r="E165" s="120" t="s">
        <v>228</v>
      </c>
      <c r="F165" s="136"/>
    </row>
    <row r="166" spans="1:6" s="2" customFormat="1" x14ac:dyDescent="0.2">
      <c r="A166" s="132"/>
      <c r="B166" s="118"/>
      <c r="C166" s="143"/>
      <c r="D166" s="119"/>
      <c r="E166" s="120"/>
      <c r="F166" s="136"/>
    </row>
    <row r="167" spans="1:6" s="2" customFormat="1" x14ac:dyDescent="0.2">
      <c r="A167" s="132">
        <v>45450</v>
      </c>
      <c r="B167" s="118">
        <f>480.78</f>
        <v>480.78</v>
      </c>
      <c r="C167" s="143" t="s">
        <v>305</v>
      </c>
      <c r="D167" s="119" t="s">
        <v>158</v>
      </c>
      <c r="E167" s="120" t="s">
        <v>159</v>
      </c>
      <c r="F167" s="136"/>
    </row>
    <row r="168" spans="1:6" s="2" customFormat="1" x14ac:dyDescent="0.2">
      <c r="A168" s="132"/>
      <c r="B168" s="118"/>
      <c r="C168" s="119"/>
      <c r="D168" s="119"/>
      <c r="E168" s="120"/>
      <c r="F168" s="136"/>
    </row>
    <row r="169" spans="1:6" s="2" customFormat="1" x14ac:dyDescent="0.2">
      <c r="A169" s="132" t="s">
        <v>306</v>
      </c>
      <c r="B169" s="118">
        <v>426.8</v>
      </c>
      <c r="C169" s="119" t="s">
        <v>307</v>
      </c>
      <c r="D169" s="119" t="s">
        <v>158</v>
      </c>
      <c r="E169" s="120" t="s">
        <v>308</v>
      </c>
      <c r="F169" s="136"/>
    </row>
    <row r="170" spans="1:6" s="2" customFormat="1" x14ac:dyDescent="0.2">
      <c r="A170" s="132" t="s">
        <v>306</v>
      </c>
      <c r="B170" s="118">
        <v>691.83</v>
      </c>
      <c r="C170" s="119" t="s">
        <v>307</v>
      </c>
      <c r="D170" s="119" t="s">
        <v>309</v>
      </c>
      <c r="E170" s="120" t="s">
        <v>188</v>
      </c>
      <c r="F170" s="136"/>
    </row>
    <row r="171" spans="1:6" s="2" customFormat="1" x14ac:dyDescent="0.2">
      <c r="A171" s="132" t="s">
        <v>306</v>
      </c>
      <c r="B171" s="118">
        <f>49.81+29.28+51.03+59.82</f>
        <v>189.94</v>
      </c>
      <c r="C171" s="119" t="s">
        <v>307</v>
      </c>
      <c r="D171" s="119" t="s">
        <v>209</v>
      </c>
      <c r="E171" s="120" t="s">
        <v>200</v>
      </c>
      <c r="F171" s="136"/>
    </row>
    <row r="172" spans="1:6" s="2" customFormat="1" x14ac:dyDescent="0.2">
      <c r="A172" s="132"/>
      <c r="B172" s="118"/>
      <c r="C172" s="119"/>
      <c r="D172" s="119"/>
      <c r="E172" s="120"/>
      <c r="F172" s="136"/>
    </row>
    <row r="173" spans="1:6" s="2" customFormat="1" x14ac:dyDescent="0.2">
      <c r="A173" s="132" t="s">
        <v>310</v>
      </c>
      <c r="B173" s="118">
        <f>458.75+22+2+2</f>
        <v>484.75</v>
      </c>
      <c r="C173" s="119" t="s">
        <v>311</v>
      </c>
      <c r="D173" s="119" t="s">
        <v>158</v>
      </c>
      <c r="E173" s="120" t="s">
        <v>159</v>
      </c>
      <c r="F173" s="136"/>
    </row>
    <row r="174" spans="1:6" s="2" customFormat="1" x14ac:dyDescent="0.2">
      <c r="A174" s="132" t="s">
        <v>310</v>
      </c>
      <c r="B174" s="118">
        <v>226.09</v>
      </c>
      <c r="C174" s="119" t="s">
        <v>311</v>
      </c>
      <c r="D174" s="119" t="s">
        <v>217</v>
      </c>
      <c r="E174" s="120" t="s">
        <v>188</v>
      </c>
      <c r="F174" s="136"/>
    </row>
    <row r="175" spans="1:6" s="2" customFormat="1" x14ac:dyDescent="0.2">
      <c r="A175" s="132" t="s">
        <v>310</v>
      </c>
      <c r="B175" s="118">
        <f>27.62</f>
        <v>27.62</v>
      </c>
      <c r="C175" s="119" t="s">
        <v>311</v>
      </c>
      <c r="D175" s="119" t="s">
        <v>183</v>
      </c>
      <c r="E175" s="120" t="s">
        <v>312</v>
      </c>
      <c r="F175" s="1"/>
    </row>
    <row r="176" spans="1:6" s="2" customFormat="1" x14ac:dyDescent="0.2">
      <c r="A176" s="132"/>
      <c r="B176" s="118"/>
      <c r="C176" s="119"/>
      <c r="D176" s="119"/>
      <c r="E176" s="120"/>
      <c r="F176" s="1"/>
    </row>
    <row r="177" spans="1:6" s="2" customFormat="1" hidden="1" x14ac:dyDescent="0.2">
      <c r="A177" s="108"/>
      <c r="B177" s="109"/>
      <c r="C177" s="110"/>
      <c r="D177" s="110"/>
      <c r="E177" s="111"/>
      <c r="F177" s="1"/>
    </row>
    <row r="178" spans="1:6" ht="19.5" customHeight="1" x14ac:dyDescent="0.2">
      <c r="A178" s="71" t="s">
        <v>313</v>
      </c>
      <c r="B178" s="72">
        <f>SUM(B34:B177)</f>
        <v>32197.54</v>
      </c>
      <c r="C178" s="128" t="str">
        <f>IF(SUBTOTAL(3,B34:B177)=SUBTOTAL(103,B34:B177),'Summary and sign-off'!$A$48,'Summary and sign-off'!$A$49)</f>
        <v>Check - there are no hidden rows with data</v>
      </c>
      <c r="D178" s="153" t="str">
        <f>IF('Summary and sign-off'!F56='Summary and sign-off'!F54,'Summary and sign-off'!A51,'Summary and sign-off'!A50)</f>
        <v>Check - each entry provides sufficient information</v>
      </c>
      <c r="E178" s="153"/>
      <c r="F178" s="17"/>
    </row>
    <row r="179" spans="1:6" ht="10.5" customHeight="1" x14ac:dyDescent="0.2">
      <c r="A179" s="17"/>
      <c r="B179" s="19"/>
      <c r="C179" s="17"/>
      <c r="D179" s="17"/>
      <c r="E179" s="17"/>
      <c r="F179" s="17"/>
    </row>
    <row r="180" spans="1:6" ht="24.75" customHeight="1" x14ac:dyDescent="0.2">
      <c r="A180" s="155" t="s">
        <v>314</v>
      </c>
      <c r="B180" s="155"/>
      <c r="C180" s="155"/>
      <c r="D180" s="155"/>
      <c r="E180" s="155"/>
      <c r="F180" s="17"/>
    </row>
    <row r="181" spans="1:6" ht="27" customHeight="1" x14ac:dyDescent="0.2">
      <c r="A181" s="24" t="s">
        <v>122</v>
      </c>
      <c r="B181" s="24" t="s">
        <v>65</v>
      </c>
      <c r="C181" s="24" t="s">
        <v>315</v>
      </c>
      <c r="D181" s="24" t="s">
        <v>316</v>
      </c>
      <c r="E181" s="24" t="s">
        <v>126</v>
      </c>
      <c r="F181" s="28"/>
    </row>
    <row r="182" spans="1:6" s="2" customFormat="1" x14ac:dyDescent="0.2">
      <c r="A182" s="132">
        <v>45126</v>
      </c>
      <c r="B182" s="118">
        <v>16.09</v>
      </c>
      <c r="C182" s="119" t="s">
        <v>317</v>
      </c>
      <c r="D182" s="119" t="s">
        <v>318</v>
      </c>
      <c r="E182" s="120" t="s">
        <v>228</v>
      </c>
      <c r="F182" s="137"/>
    </row>
    <row r="183" spans="1:6" s="2" customFormat="1" x14ac:dyDescent="0.2">
      <c r="A183" s="132">
        <v>45110</v>
      </c>
      <c r="B183" s="118">
        <v>48.39</v>
      </c>
      <c r="C183" s="119" t="s">
        <v>317</v>
      </c>
      <c r="D183" s="119" t="s">
        <v>318</v>
      </c>
      <c r="E183" s="120" t="s">
        <v>228</v>
      </c>
      <c r="F183" s="136"/>
    </row>
    <row r="184" spans="1:6" s="2" customFormat="1" x14ac:dyDescent="0.2">
      <c r="A184" s="132">
        <v>45127</v>
      </c>
      <c r="B184" s="118">
        <f>9.6+18.78+11.29+11.25</f>
        <v>50.92</v>
      </c>
      <c r="C184" s="119" t="s">
        <v>319</v>
      </c>
      <c r="D184" s="119" t="s">
        <v>320</v>
      </c>
      <c r="E184" s="120" t="s">
        <v>228</v>
      </c>
      <c r="F184" s="136"/>
    </row>
    <row r="185" spans="1:6" s="2" customFormat="1" x14ac:dyDescent="0.2">
      <c r="A185" s="117" t="s">
        <v>321</v>
      </c>
      <c r="B185" s="118">
        <f>14.25+20.92+30.59+29.59+64.17</f>
        <v>159.52000000000001</v>
      </c>
      <c r="C185" s="119" t="s">
        <v>322</v>
      </c>
      <c r="D185" s="119" t="s">
        <v>323</v>
      </c>
      <c r="E185" s="120" t="s">
        <v>228</v>
      </c>
      <c r="F185" s="136"/>
    </row>
    <row r="186" spans="1:6" s="2" customFormat="1" x14ac:dyDescent="0.2">
      <c r="A186" s="132">
        <v>45139</v>
      </c>
      <c r="B186" s="118">
        <v>11.49</v>
      </c>
      <c r="C186" s="119" t="s">
        <v>324</v>
      </c>
      <c r="D186" s="119" t="s">
        <v>325</v>
      </c>
      <c r="E186" s="120" t="s">
        <v>228</v>
      </c>
      <c r="F186" s="136"/>
    </row>
    <row r="187" spans="1:6" s="2" customFormat="1" x14ac:dyDescent="0.2">
      <c r="A187" s="132">
        <v>45149</v>
      </c>
      <c r="B187" s="118">
        <v>16.559999999999999</v>
      </c>
      <c r="C187" s="119" t="s">
        <v>326</v>
      </c>
      <c r="D187" s="119" t="s">
        <v>325</v>
      </c>
      <c r="E187" s="120" t="s">
        <v>228</v>
      </c>
      <c r="F187" s="136"/>
    </row>
    <row r="188" spans="1:6" s="2" customFormat="1" x14ac:dyDescent="0.2">
      <c r="A188" s="132">
        <v>45210</v>
      </c>
      <c r="B188" s="118">
        <v>9.43</v>
      </c>
      <c r="C188" s="119" t="s">
        <v>327</v>
      </c>
      <c r="D188" s="119" t="s">
        <v>199</v>
      </c>
      <c r="E188" s="120" t="s">
        <v>188</v>
      </c>
      <c r="F188" s="136"/>
    </row>
    <row r="189" spans="1:6" s="2" customFormat="1" x14ac:dyDescent="0.2">
      <c r="A189" s="132">
        <v>45211</v>
      </c>
      <c r="B189" s="118">
        <v>8.8000000000000007</v>
      </c>
      <c r="C189" s="119" t="s">
        <v>328</v>
      </c>
      <c r="D189" s="119" t="s">
        <v>325</v>
      </c>
      <c r="E189" s="120" t="s">
        <v>188</v>
      </c>
      <c r="F189" s="136"/>
    </row>
    <row r="190" spans="1:6" s="2" customFormat="1" x14ac:dyDescent="0.2">
      <c r="A190" s="132">
        <v>45239</v>
      </c>
      <c r="B190" s="118">
        <f>14.28+8.8</f>
        <v>23.08</v>
      </c>
      <c r="C190" s="119" t="s">
        <v>329</v>
      </c>
      <c r="D190" s="119" t="s">
        <v>330</v>
      </c>
      <c r="E190" s="120" t="s">
        <v>228</v>
      </c>
      <c r="F190" s="140"/>
    </row>
    <row r="191" spans="1:6" s="2" customFormat="1" x14ac:dyDescent="0.2">
      <c r="A191" s="132">
        <v>45250</v>
      </c>
      <c r="B191" s="118">
        <f>8.8+8.8</f>
        <v>17.600000000000001</v>
      </c>
      <c r="C191" s="119" t="s">
        <v>331</v>
      </c>
      <c r="D191" s="119" t="s">
        <v>325</v>
      </c>
      <c r="E191" s="120" t="s">
        <v>188</v>
      </c>
      <c r="F191" s="136"/>
    </row>
    <row r="192" spans="1:6" s="2" customFormat="1" x14ac:dyDescent="0.2">
      <c r="A192" s="132">
        <v>45251</v>
      </c>
      <c r="B192" s="118">
        <f>10.14+10.09</f>
        <v>20.23</v>
      </c>
      <c r="C192" s="119" t="s">
        <v>332</v>
      </c>
      <c r="D192" s="119" t="s">
        <v>330</v>
      </c>
      <c r="E192" s="120" t="s">
        <v>188</v>
      </c>
      <c r="F192" s="136"/>
    </row>
    <row r="193" spans="1:6" s="2" customFormat="1" x14ac:dyDescent="0.2">
      <c r="A193" s="132">
        <v>45261</v>
      </c>
      <c r="B193" s="118">
        <f>8.8+8.89</f>
        <v>17.690000000000001</v>
      </c>
      <c r="C193" s="119" t="s">
        <v>333</v>
      </c>
      <c r="D193" s="119" t="s">
        <v>330</v>
      </c>
      <c r="E193" s="120" t="s">
        <v>228</v>
      </c>
      <c r="F193" s="136"/>
    </row>
    <row r="194" spans="1:6" s="2" customFormat="1" x14ac:dyDescent="0.2">
      <c r="A194" s="132">
        <v>45271</v>
      </c>
      <c r="B194" s="118">
        <f>8.8+8.8</f>
        <v>17.600000000000001</v>
      </c>
      <c r="C194" s="119" t="s">
        <v>333</v>
      </c>
      <c r="D194" s="119" t="s">
        <v>330</v>
      </c>
      <c r="E194" s="120" t="s">
        <v>228</v>
      </c>
      <c r="F194" s="136"/>
    </row>
    <row r="195" spans="1:6" s="2" customFormat="1" x14ac:dyDescent="0.2">
      <c r="A195" s="132">
        <v>45272</v>
      </c>
      <c r="B195" s="118">
        <v>27.54</v>
      </c>
      <c r="C195" s="119" t="s">
        <v>334</v>
      </c>
      <c r="D195" s="119" t="s">
        <v>325</v>
      </c>
      <c r="E195" s="120" t="s">
        <v>188</v>
      </c>
      <c r="F195" s="136"/>
    </row>
    <row r="196" spans="1:6" s="2" customFormat="1" x14ac:dyDescent="0.2">
      <c r="A196" s="132">
        <v>45309</v>
      </c>
      <c r="B196" s="118">
        <v>21.39</v>
      </c>
      <c r="C196" s="119" t="s">
        <v>335</v>
      </c>
      <c r="D196" s="119" t="s">
        <v>219</v>
      </c>
      <c r="E196" s="120" t="s">
        <v>228</v>
      </c>
      <c r="F196" s="136"/>
    </row>
    <row r="197" spans="1:6" s="2" customFormat="1" x14ac:dyDescent="0.2">
      <c r="A197" s="132">
        <v>45320</v>
      </c>
      <c r="B197" s="118">
        <f>7.85+8.8</f>
        <v>16.649999999999999</v>
      </c>
      <c r="C197" s="119" t="s">
        <v>336</v>
      </c>
      <c r="D197" s="119" t="s">
        <v>330</v>
      </c>
      <c r="E197" s="120" t="s">
        <v>228</v>
      </c>
      <c r="F197" s="136"/>
    </row>
    <row r="198" spans="1:6" s="2" customFormat="1" x14ac:dyDescent="0.2">
      <c r="A198" s="132">
        <v>45335</v>
      </c>
      <c r="B198" s="118">
        <v>17.95</v>
      </c>
      <c r="C198" s="119" t="s">
        <v>337</v>
      </c>
      <c r="D198" s="119" t="s">
        <v>318</v>
      </c>
      <c r="E198" s="120" t="s">
        <v>228</v>
      </c>
      <c r="F198" s="136"/>
    </row>
    <row r="199" spans="1:6" s="2" customFormat="1" x14ac:dyDescent="0.2">
      <c r="A199" s="132">
        <v>45336</v>
      </c>
      <c r="B199" s="118">
        <f>15+13.52</f>
        <v>28.52</v>
      </c>
      <c r="C199" s="119" t="s">
        <v>338</v>
      </c>
      <c r="D199" s="119" t="s">
        <v>330</v>
      </c>
      <c r="E199" s="120" t="s">
        <v>228</v>
      </c>
      <c r="F199" s="136"/>
    </row>
    <row r="200" spans="1:6" s="2" customFormat="1" x14ac:dyDescent="0.2">
      <c r="A200" s="132">
        <v>45338</v>
      </c>
      <c r="B200" s="118">
        <v>24.35</v>
      </c>
      <c r="C200" s="119" t="s">
        <v>339</v>
      </c>
      <c r="D200" s="119" t="s">
        <v>318</v>
      </c>
      <c r="E200" s="120" t="s">
        <v>228</v>
      </c>
      <c r="F200" s="136"/>
    </row>
    <row r="201" spans="1:6" s="2" customFormat="1" x14ac:dyDescent="0.2">
      <c r="A201" s="132">
        <v>45345</v>
      </c>
      <c r="B201" s="118">
        <f>18.45+40.77</f>
        <v>59.22</v>
      </c>
      <c r="C201" s="119" t="s">
        <v>340</v>
      </c>
      <c r="D201" s="119" t="s">
        <v>281</v>
      </c>
      <c r="E201" s="120" t="s">
        <v>228</v>
      </c>
      <c r="F201" s="142"/>
    </row>
    <row r="202" spans="1:6" s="2" customFormat="1" x14ac:dyDescent="0.2">
      <c r="A202" s="132">
        <v>45349</v>
      </c>
      <c r="B202" s="118">
        <v>17.41</v>
      </c>
      <c r="C202" s="119" t="s">
        <v>335</v>
      </c>
      <c r="D202" s="119" t="s">
        <v>318</v>
      </c>
      <c r="E202" s="120" t="s">
        <v>228</v>
      </c>
      <c r="F202" s="136"/>
    </row>
    <row r="203" spans="1:6" s="2" customFormat="1" x14ac:dyDescent="0.2">
      <c r="A203" s="132">
        <v>45351</v>
      </c>
      <c r="B203" s="118">
        <f>8.8+9.42</f>
        <v>18.22</v>
      </c>
      <c r="C203" s="119" t="s">
        <v>341</v>
      </c>
      <c r="D203" s="119" t="s">
        <v>325</v>
      </c>
      <c r="E203" s="120" t="s">
        <v>228</v>
      </c>
      <c r="F203" s="136"/>
    </row>
    <row r="204" spans="1:6" s="2" customFormat="1" x14ac:dyDescent="0.2">
      <c r="A204" s="132">
        <v>45358</v>
      </c>
      <c r="B204" s="118">
        <v>35.299999999999997</v>
      </c>
      <c r="C204" s="119" t="s">
        <v>342</v>
      </c>
      <c r="D204" s="119" t="s">
        <v>318</v>
      </c>
      <c r="E204" s="120" t="s">
        <v>228</v>
      </c>
      <c r="F204" s="136"/>
    </row>
    <row r="205" spans="1:6" s="2" customFormat="1" x14ac:dyDescent="0.2">
      <c r="A205" s="132">
        <v>45362</v>
      </c>
      <c r="B205" s="118">
        <f>8.8+9.23</f>
        <v>18.03</v>
      </c>
      <c r="C205" s="119" t="s">
        <v>343</v>
      </c>
      <c r="D205" s="119" t="s">
        <v>325</v>
      </c>
      <c r="E205" s="120" t="s">
        <v>228</v>
      </c>
      <c r="F205" s="136"/>
    </row>
    <row r="206" spans="1:6" s="2" customFormat="1" x14ac:dyDescent="0.2">
      <c r="A206" s="132">
        <v>45363</v>
      </c>
      <c r="B206" s="118">
        <f>9.33+7.88</f>
        <v>17.21</v>
      </c>
      <c r="C206" s="119" t="s">
        <v>344</v>
      </c>
      <c r="D206" s="119" t="s">
        <v>325</v>
      </c>
      <c r="E206" s="120" t="s">
        <v>228</v>
      </c>
      <c r="F206" s="136"/>
    </row>
    <row r="207" spans="1:6" s="2" customFormat="1" x14ac:dyDescent="0.2">
      <c r="A207" s="132">
        <v>45397</v>
      </c>
      <c r="B207" s="118">
        <v>42.2</v>
      </c>
      <c r="C207" s="119" t="s">
        <v>343</v>
      </c>
      <c r="D207" s="119" t="s">
        <v>318</v>
      </c>
      <c r="E207" s="120" t="s">
        <v>228</v>
      </c>
      <c r="F207" s="136"/>
    </row>
    <row r="208" spans="1:6" s="2" customFormat="1" x14ac:dyDescent="0.2">
      <c r="A208" s="132">
        <v>45411</v>
      </c>
      <c r="B208" s="118">
        <f>8.45+11.17</f>
        <v>19.619999999999997</v>
      </c>
      <c r="C208" s="119" t="s">
        <v>343</v>
      </c>
      <c r="D208" s="119" t="s">
        <v>325</v>
      </c>
      <c r="E208" s="120" t="s">
        <v>228</v>
      </c>
      <c r="F208" s="136"/>
    </row>
    <row r="209" spans="1:6" s="2" customFormat="1" x14ac:dyDescent="0.2">
      <c r="A209" s="132">
        <v>45420</v>
      </c>
      <c r="B209" s="118">
        <f>3.45+17.23</f>
        <v>20.68</v>
      </c>
      <c r="C209" s="119" t="s">
        <v>345</v>
      </c>
      <c r="D209" s="119" t="s">
        <v>346</v>
      </c>
      <c r="E209" s="120" t="s">
        <v>188</v>
      </c>
      <c r="F209" s="136"/>
    </row>
    <row r="210" spans="1:6" s="2" customFormat="1" x14ac:dyDescent="0.2">
      <c r="A210" s="132">
        <v>45420</v>
      </c>
      <c r="B210" s="118">
        <f>8.45+8.45</f>
        <v>16.899999999999999</v>
      </c>
      <c r="C210" s="119" t="s">
        <v>347</v>
      </c>
      <c r="D210" s="119" t="s">
        <v>348</v>
      </c>
      <c r="E210" s="120" t="s">
        <v>188</v>
      </c>
      <c r="F210" s="136"/>
    </row>
    <row r="211" spans="1:6" s="2" customFormat="1" x14ac:dyDescent="0.2">
      <c r="A211" s="132">
        <v>45449</v>
      </c>
      <c r="B211" s="118">
        <f>8.45+8.45</f>
        <v>16.899999999999999</v>
      </c>
      <c r="C211" s="119" t="s">
        <v>349</v>
      </c>
      <c r="D211" s="119" t="s">
        <v>325</v>
      </c>
      <c r="E211" s="120" t="s">
        <v>228</v>
      </c>
      <c r="F211" s="136"/>
    </row>
    <row r="212" spans="1:6" s="2" customFormat="1" x14ac:dyDescent="0.2">
      <c r="A212" s="132" t="s">
        <v>350</v>
      </c>
      <c r="B212" s="118">
        <f>8.45*6</f>
        <v>50.699999999999996</v>
      </c>
      <c r="C212" s="119" t="s">
        <v>351</v>
      </c>
      <c r="D212" s="119" t="s">
        <v>352</v>
      </c>
      <c r="E212" s="120" t="s">
        <v>228</v>
      </c>
      <c r="F212" s="1"/>
    </row>
    <row r="213" spans="1:6" s="2" customFormat="1" x14ac:dyDescent="0.2">
      <c r="A213" s="117"/>
      <c r="B213" s="118"/>
      <c r="C213" s="119"/>
      <c r="D213" s="119"/>
      <c r="E213" s="120"/>
      <c r="F213" s="1"/>
    </row>
    <row r="214" spans="1:6" s="2" customFormat="1" hidden="1" x14ac:dyDescent="0.2">
      <c r="A214" s="94"/>
      <c r="B214" s="95"/>
      <c r="C214" s="96"/>
      <c r="D214" s="96"/>
      <c r="E214" s="97"/>
      <c r="F214" s="1"/>
    </row>
    <row r="215" spans="1:6" ht="19.5" customHeight="1" x14ac:dyDescent="0.2">
      <c r="A215" s="71" t="s">
        <v>353</v>
      </c>
      <c r="B215" s="72">
        <f>SUM(B182:B214)</f>
        <v>886.19</v>
      </c>
      <c r="C215" s="128" t="str">
        <f>IF(SUBTOTAL(3,B182:B214)=SUBTOTAL(103,B182:B214),'Summary and sign-off'!$A$48,'Summary and sign-off'!$A$49)</f>
        <v>Check - there are no hidden rows with data</v>
      </c>
      <c r="D215" s="153" t="str">
        <f>IF('Summary and sign-off'!F57='Summary and sign-off'!F54,'Summary and sign-off'!A51,'Summary and sign-off'!A50)</f>
        <v>Check - each entry provides sufficient information</v>
      </c>
      <c r="E215" s="153"/>
      <c r="F215" s="17"/>
    </row>
    <row r="216" spans="1:6" ht="10.5" customHeight="1" x14ac:dyDescent="0.2">
      <c r="A216" s="17"/>
      <c r="B216" s="57"/>
      <c r="C216" s="19"/>
      <c r="D216" s="17"/>
      <c r="E216" s="17"/>
      <c r="F216" s="17"/>
    </row>
    <row r="217" spans="1:6" ht="34.5" customHeight="1" x14ac:dyDescent="0.2">
      <c r="A217" s="31" t="s">
        <v>354</v>
      </c>
      <c r="B217" s="58">
        <f>B30+B178+B215</f>
        <v>38188.200000000004</v>
      </c>
      <c r="C217" s="32"/>
      <c r="D217" s="32"/>
      <c r="E217" s="32"/>
      <c r="F217" s="17"/>
    </row>
    <row r="218" spans="1:6" x14ac:dyDescent="0.2">
      <c r="A218" s="17"/>
      <c r="B218" s="19"/>
      <c r="C218" s="17"/>
      <c r="D218" s="17"/>
      <c r="E218" s="17"/>
      <c r="F218" s="17"/>
    </row>
    <row r="219" spans="1:6" x14ac:dyDescent="0.2">
      <c r="A219" s="18" t="s">
        <v>77</v>
      </c>
      <c r="B219" s="19"/>
      <c r="C219" s="17"/>
      <c r="D219" s="17"/>
      <c r="E219" s="17"/>
      <c r="F219" s="17"/>
    </row>
    <row r="220" spans="1:6" ht="12.75" customHeight="1" x14ac:dyDescent="0.2">
      <c r="A220" s="20" t="s">
        <v>355</v>
      </c>
      <c r="F220" s="17"/>
    </row>
    <row r="221" spans="1:6" ht="12.95" customHeight="1" x14ac:dyDescent="0.2">
      <c r="A221" s="20" t="s">
        <v>356</v>
      </c>
      <c r="B221" s="17"/>
      <c r="D221" s="17"/>
      <c r="F221" s="17"/>
    </row>
    <row r="222" spans="1:6" x14ac:dyDescent="0.2">
      <c r="A222" s="20" t="s">
        <v>357</v>
      </c>
      <c r="F222" s="17"/>
    </row>
    <row r="223" spans="1:6" x14ac:dyDescent="0.2">
      <c r="A223" s="20" t="s">
        <v>83</v>
      </c>
      <c r="B223" s="19"/>
      <c r="C223" s="17"/>
      <c r="D223" s="17"/>
      <c r="E223" s="17"/>
      <c r="F223" s="17"/>
    </row>
    <row r="224" spans="1:6" ht="12.95" customHeight="1" x14ac:dyDescent="0.2">
      <c r="A224" s="20" t="s">
        <v>358</v>
      </c>
      <c r="B224" s="17"/>
      <c r="D224" s="17"/>
      <c r="F224" s="17"/>
    </row>
    <row r="225" spans="1:6" x14ac:dyDescent="0.2">
      <c r="A225" s="20" t="s">
        <v>359</v>
      </c>
      <c r="F225" s="17"/>
    </row>
    <row r="226" spans="1:6" x14ac:dyDescent="0.2">
      <c r="A226" s="20" t="s">
        <v>360</v>
      </c>
      <c r="B226" s="20"/>
      <c r="C226" s="20"/>
      <c r="D226" s="20"/>
      <c r="F226" s="17"/>
    </row>
    <row r="227" spans="1:6" x14ac:dyDescent="0.2">
      <c r="A227" s="26"/>
      <c r="B227" s="17"/>
      <c r="C227" s="17"/>
      <c r="D227" s="17"/>
      <c r="E227" s="17"/>
      <c r="F227" s="17"/>
    </row>
    <row r="228" spans="1:6" hidden="1" x14ac:dyDescent="0.2">
      <c r="A228" s="26"/>
      <c r="B228" s="17"/>
      <c r="C228" s="17"/>
      <c r="D228" s="17"/>
      <c r="E228" s="17"/>
      <c r="F228" s="17"/>
    </row>
    <row r="229" spans="1:6" x14ac:dyDescent="0.2"/>
    <row r="230" spans="1:6" x14ac:dyDescent="0.2"/>
    <row r="231" spans="1:6" x14ac:dyDescent="0.2"/>
    <row r="232" spans="1:6" x14ac:dyDescent="0.2"/>
    <row r="233" spans="1:6" ht="12.75" hidden="1" customHeight="1" x14ac:dyDescent="0.2"/>
    <row r="234" spans="1:6" x14ac:dyDescent="0.2"/>
    <row r="235" spans="1:6" x14ac:dyDescent="0.2"/>
    <row r="236" spans="1:6" hidden="1" x14ac:dyDescent="0.2">
      <c r="A236" s="26"/>
      <c r="B236" s="17"/>
      <c r="C236" s="17"/>
      <c r="D236" s="17"/>
      <c r="E236" s="17"/>
      <c r="F236" s="17"/>
    </row>
    <row r="237" spans="1:6" hidden="1" x14ac:dyDescent="0.2">
      <c r="A237" s="26"/>
      <c r="B237" s="17"/>
      <c r="C237" s="17"/>
      <c r="D237" s="17"/>
      <c r="E237" s="17"/>
      <c r="F237" s="17"/>
    </row>
    <row r="238" spans="1:6" hidden="1" x14ac:dyDescent="0.2">
      <c r="A238" s="26"/>
      <c r="B238" s="17"/>
      <c r="C238" s="17"/>
      <c r="D238" s="17"/>
      <c r="E238" s="17"/>
      <c r="F238" s="17"/>
    </row>
    <row r="239" spans="1:6" hidden="1" x14ac:dyDescent="0.2">
      <c r="A239" s="26"/>
      <c r="B239" s="17"/>
      <c r="C239" s="17"/>
      <c r="D239" s="17"/>
      <c r="E239" s="17"/>
      <c r="F239" s="17"/>
    </row>
    <row r="240" spans="1:6" hidden="1" x14ac:dyDescent="0.2">
      <c r="A240" s="26"/>
      <c r="B240" s="17"/>
      <c r="C240" s="17"/>
      <c r="D240" s="17"/>
      <c r="E240" s="17"/>
      <c r="F240" s="17"/>
    </row>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sheetData>
  <sheetProtection sheet="1" formatCells="0" formatRows="0" insertColumns="0" insertRows="0" deleteRows="0"/>
  <mergeCells count="15">
    <mergeCell ref="B7:E7"/>
    <mergeCell ref="B5:E5"/>
    <mergeCell ref="D215:E215"/>
    <mergeCell ref="A1:E1"/>
    <mergeCell ref="A32:E32"/>
    <mergeCell ref="A180:E180"/>
    <mergeCell ref="B2:E2"/>
    <mergeCell ref="B3:E3"/>
    <mergeCell ref="B4:E4"/>
    <mergeCell ref="A8:E8"/>
    <mergeCell ref="A9:E9"/>
    <mergeCell ref="B6:E6"/>
    <mergeCell ref="D30:E30"/>
    <mergeCell ref="D178:E178"/>
    <mergeCell ref="A10:E10"/>
  </mergeCells>
  <dataValidations xWindow="148" yWindow="586"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34 A29 A214 A182:A184 A12:A19 A177"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81 A33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35:A41 A143:A176 A43:A141 A20:A28 A185:A213"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48" yWindow="586"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B34:B177 B182:B214 B12:B29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5"/>
  <sheetViews>
    <sheetView topLeftCell="A5"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54" t="s">
        <v>113</v>
      </c>
      <c r="B1" s="154"/>
      <c r="C1" s="154"/>
      <c r="D1" s="154"/>
      <c r="E1" s="154"/>
    </row>
    <row r="2" spans="1:6" ht="21" customHeight="1" x14ac:dyDescent="0.2">
      <c r="A2" s="3" t="s">
        <v>114</v>
      </c>
      <c r="B2" s="152" t="str">
        <f>'Summary and sign-off'!B2:F2</f>
        <v>Sport NZ</v>
      </c>
      <c r="C2" s="152"/>
      <c r="D2" s="152"/>
      <c r="E2" s="152"/>
    </row>
    <row r="3" spans="1:6" ht="31.5" x14ac:dyDescent="0.2">
      <c r="A3" s="3" t="s">
        <v>115</v>
      </c>
      <c r="B3" s="152" t="str">
        <f>'Summary and sign-off'!B3:F3</f>
        <v>Raelene Castle</v>
      </c>
      <c r="C3" s="152"/>
      <c r="D3" s="152"/>
      <c r="E3" s="152"/>
    </row>
    <row r="4" spans="1:6" ht="21" customHeight="1" x14ac:dyDescent="0.2">
      <c r="A4" s="3" t="s">
        <v>116</v>
      </c>
      <c r="B4" s="152">
        <f>'Summary and sign-off'!B4:F4</f>
        <v>45108</v>
      </c>
      <c r="C4" s="152"/>
      <c r="D4" s="152"/>
      <c r="E4" s="152"/>
    </row>
    <row r="5" spans="1:6" ht="21" customHeight="1" x14ac:dyDescent="0.2">
      <c r="A5" s="3" t="s">
        <v>117</v>
      </c>
      <c r="B5" s="152">
        <f>'Summary and sign-off'!B5:F5</f>
        <v>45473</v>
      </c>
      <c r="C5" s="152"/>
      <c r="D5" s="152"/>
      <c r="E5" s="152"/>
    </row>
    <row r="6" spans="1:6" ht="21" customHeight="1" x14ac:dyDescent="0.2">
      <c r="A6" s="3" t="s">
        <v>118</v>
      </c>
      <c r="B6" s="147" t="s">
        <v>85</v>
      </c>
      <c r="C6" s="147"/>
      <c r="D6" s="147"/>
      <c r="E6" s="147"/>
    </row>
    <row r="7" spans="1:6" ht="21" customHeight="1" x14ac:dyDescent="0.2">
      <c r="A7" s="3" t="s">
        <v>58</v>
      </c>
      <c r="B7" s="147" t="s">
        <v>87</v>
      </c>
      <c r="C7" s="147"/>
      <c r="D7" s="147"/>
      <c r="E7" s="147"/>
    </row>
    <row r="8" spans="1:6" ht="35.25" customHeight="1" x14ac:dyDescent="0.25">
      <c r="A8" s="163" t="s">
        <v>361</v>
      </c>
      <c r="B8" s="163"/>
      <c r="C8" s="164"/>
      <c r="D8" s="164"/>
      <c r="E8" s="164"/>
      <c r="F8" s="27"/>
    </row>
    <row r="9" spans="1:6" ht="35.25" customHeight="1" x14ac:dyDescent="0.25">
      <c r="A9" s="161" t="s">
        <v>362</v>
      </c>
      <c r="B9" s="162"/>
      <c r="C9" s="162"/>
      <c r="D9" s="162"/>
      <c r="E9" s="162"/>
      <c r="F9" s="27"/>
    </row>
    <row r="10" spans="1:6" ht="27" customHeight="1" x14ac:dyDescent="0.2">
      <c r="A10" s="24" t="s">
        <v>363</v>
      </c>
      <c r="B10" s="24" t="s">
        <v>65</v>
      </c>
      <c r="C10" s="24" t="s">
        <v>364</v>
      </c>
      <c r="D10" s="24" t="s">
        <v>365</v>
      </c>
      <c r="E10" s="24" t="s">
        <v>126</v>
      </c>
      <c r="F10" s="20"/>
    </row>
    <row r="11" spans="1:6" s="2" customFormat="1" x14ac:dyDescent="0.2">
      <c r="A11" s="121">
        <v>45133</v>
      </c>
      <c r="B11" s="118">
        <v>181.77</v>
      </c>
      <c r="C11" s="122" t="s">
        <v>366</v>
      </c>
      <c r="D11" s="122" t="s">
        <v>367</v>
      </c>
      <c r="E11" s="123" t="s">
        <v>130</v>
      </c>
    </row>
    <row r="12" spans="1:6" s="2" customFormat="1" x14ac:dyDescent="0.2">
      <c r="A12" s="117">
        <v>45196</v>
      </c>
      <c r="B12" s="118">
        <v>17.899999999999999</v>
      </c>
      <c r="C12" s="122" t="s">
        <v>368</v>
      </c>
      <c r="D12" s="122" t="s">
        <v>369</v>
      </c>
      <c r="E12" s="123" t="s">
        <v>228</v>
      </c>
    </row>
    <row r="13" spans="1:6" s="2" customFormat="1" x14ac:dyDescent="0.2">
      <c r="A13" s="117">
        <v>45229</v>
      </c>
      <c r="B13" s="118">
        <v>43.04</v>
      </c>
      <c r="C13" s="122" t="s">
        <v>370</v>
      </c>
      <c r="D13" s="122" t="s">
        <v>371</v>
      </c>
      <c r="E13" s="123" t="s">
        <v>228</v>
      </c>
      <c r="F13" s="136"/>
    </row>
    <row r="14" spans="1:6" s="2" customFormat="1" x14ac:dyDescent="0.2">
      <c r="A14" s="117">
        <v>45365</v>
      </c>
      <c r="B14" s="118">
        <v>24.39</v>
      </c>
      <c r="C14" s="122" t="s">
        <v>372</v>
      </c>
      <c r="D14" s="122" t="s">
        <v>373</v>
      </c>
      <c r="E14" s="123" t="s">
        <v>228</v>
      </c>
      <c r="F14" s="136"/>
    </row>
    <row r="15" spans="1:6" s="2" customFormat="1" x14ac:dyDescent="0.2">
      <c r="A15" s="117">
        <v>45404</v>
      </c>
      <c r="B15" s="118">
        <v>42.6</v>
      </c>
      <c r="C15" s="122" t="s">
        <v>374</v>
      </c>
      <c r="D15" s="122" t="s">
        <v>375</v>
      </c>
      <c r="E15" s="123" t="s">
        <v>228</v>
      </c>
      <c r="F15" s="136"/>
    </row>
    <row r="16" spans="1:6" s="2" customFormat="1" x14ac:dyDescent="0.2">
      <c r="A16" s="117">
        <v>45419</v>
      </c>
      <c r="B16" s="118">
        <v>66.959999999999994</v>
      </c>
      <c r="C16" s="122" t="s">
        <v>376</v>
      </c>
      <c r="D16" s="122" t="s">
        <v>377</v>
      </c>
      <c r="E16" s="123" t="s">
        <v>188</v>
      </c>
      <c r="F16" s="136"/>
    </row>
    <row r="17" spans="1:6" s="2" customFormat="1" x14ac:dyDescent="0.2">
      <c r="A17" s="117">
        <v>45428</v>
      </c>
      <c r="B17" s="118">
        <v>49.67</v>
      </c>
      <c r="C17" s="122" t="s">
        <v>378</v>
      </c>
      <c r="D17" s="122" t="s">
        <v>375</v>
      </c>
      <c r="E17" s="123" t="s">
        <v>228</v>
      </c>
      <c r="F17" s="136"/>
    </row>
    <row r="18" spans="1:6" s="2" customFormat="1" x14ac:dyDescent="0.2">
      <c r="A18" s="121"/>
      <c r="B18" s="118"/>
      <c r="C18" s="122"/>
      <c r="D18" s="122"/>
      <c r="E18" s="123"/>
    </row>
    <row r="19" spans="1:6" s="2" customFormat="1" x14ac:dyDescent="0.2">
      <c r="A19" s="121"/>
      <c r="B19" s="118"/>
      <c r="C19" s="122"/>
      <c r="D19" s="122"/>
      <c r="E19" s="123"/>
    </row>
    <row r="20" spans="1:6" s="2" customFormat="1" ht="11.25" hidden="1" customHeight="1" x14ac:dyDescent="0.2">
      <c r="A20" s="98"/>
      <c r="B20" s="95"/>
      <c r="C20" s="99"/>
      <c r="D20" s="99"/>
      <c r="E20" s="100"/>
    </row>
    <row r="21" spans="1:6" ht="34.5" customHeight="1" x14ac:dyDescent="0.2">
      <c r="A21" s="53" t="s">
        <v>379</v>
      </c>
      <c r="B21" s="62">
        <f>SUM(B11:B20)</f>
        <v>426.33000000000004</v>
      </c>
      <c r="C21" s="70" t="str">
        <f>IF(SUBTOTAL(3,B11:B20)=SUBTOTAL(103,B11:B20),'Summary and sign-off'!$A$48,'Summary and sign-off'!$A$49)</f>
        <v>Check - there are no hidden rows with data</v>
      </c>
      <c r="D21" s="153" t="str">
        <f>IF('Summary and sign-off'!F58='Summary and sign-off'!F54,'Summary and sign-off'!A51,'Summary and sign-off'!A50)</f>
        <v>Check - each entry provides sufficient information</v>
      </c>
      <c r="E21" s="153"/>
      <c r="F21" s="2"/>
    </row>
    <row r="22" spans="1:6" x14ac:dyDescent="0.2">
      <c r="A22" s="18"/>
      <c r="B22" s="17"/>
      <c r="C22" s="17"/>
      <c r="D22" s="17"/>
      <c r="E22" s="17"/>
    </row>
    <row r="23" spans="1:6" x14ac:dyDescent="0.2">
      <c r="A23" s="18" t="s">
        <v>77</v>
      </c>
      <c r="B23" s="19"/>
      <c r="C23" s="17"/>
      <c r="D23" s="17"/>
      <c r="E23" s="17"/>
    </row>
    <row r="24" spans="1:6" ht="12.75" customHeight="1" x14ac:dyDescent="0.2">
      <c r="A24" s="20" t="s">
        <v>380</v>
      </c>
      <c r="B24" s="20"/>
      <c r="C24" s="20"/>
      <c r="D24" s="20"/>
      <c r="E24" s="20"/>
    </row>
    <row r="25" spans="1:6" x14ac:dyDescent="0.2">
      <c r="A25" s="20" t="s">
        <v>381</v>
      </c>
      <c r="B25" s="20"/>
      <c r="C25" s="28"/>
      <c r="D25" s="28"/>
      <c r="E25" s="28"/>
    </row>
    <row r="26" spans="1:6" x14ac:dyDescent="0.2">
      <c r="A26" s="20" t="s">
        <v>83</v>
      </c>
      <c r="B26" s="19"/>
      <c r="C26" s="17"/>
      <c r="D26" s="17"/>
      <c r="E26" s="17"/>
      <c r="F26" s="17"/>
    </row>
    <row r="27" spans="1:6" x14ac:dyDescent="0.2">
      <c r="A27" s="20" t="s">
        <v>382</v>
      </c>
      <c r="B27" s="20"/>
      <c r="C27" s="28"/>
      <c r="D27" s="28"/>
      <c r="E27" s="28"/>
    </row>
    <row r="28" spans="1:6" ht="12.75" customHeight="1" x14ac:dyDescent="0.2">
      <c r="A28" s="20" t="s">
        <v>383</v>
      </c>
      <c r="B28" s="20"/>
      <c r="C28" s="22"/>
      <c r="D28" s="22"/>
      <c r="E28" s="22"/>
    </row>
    <row r="29" spans="1:6" x14ac:dyDescent="0.2">
      <c r="A29" s="17"/>
      <c r="B29" s="17"/>
      <c r="C29" s="17"/>
      <c r="D29" s="17"/>
      <c r="E29" s="17"/>
    </row>
    <row r="30" spans="1:6" x14ac:dyDescent="0.2"/>
    <row r="31" spans="1:6" x14ac:dyDescent="0.2"/>
    <row r="32" spans="1:6" x14ac:dyDescent="0.2"/>
    <row r="33" x14ac:dyDescent="0.2"/>
    <row r="34" x14ac:dyDescent="0.2"/>
    <row r="35" x14ac:dyDescent="0.2"/>
  </sheetData>
  <sheetProtection sheet="1" formatCells="0" insertRows="0" deleteRows="0"/>
  <mergeCells count="10">
    <mergeCell ref="D21:E21"/>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0"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A16 A17 A18 A19"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54" t="s">
        <v>113</v>
      </c>
      <c r="B1" s="154"/>
      <c r="C1" s="154"/>
      <c r="D1" s="154"/>
      <c r="E1" s="154"/>
    </row>
    <row r="2" spans="1:6" ht="21" customHeight="1" x14ac:dyDescent="0.2">
      <c r="A2" s="3" t="s">
        <v>114</v>
      </c>
      <c r="B2" s="152" t="str">
        <f>'Summary and sign-off'!B2:F2</f>
        <v>Sport NZ</v>
      </c>
      <c r="C2" s="152"/>
      <c r="D2" s="152"/>
      <c r="E2" s="152"/>
    </row>
    <row r="3" spans="1:6" ht="31.5" x14ac:dyDescent="0.2">
      <c r="A3" s="3" t="s">
        <v>384</v>
      </c>
      <c r="B3" s="152" t="str">
        <f>'Summary and sign-off'!B3:F3</f>
        <v>Raelene Castle</v>
      </c>
      <c r="C3" s="152"/>
      <c r="D3" s="152"/>
      <c r="E3" s="152"/>
    </row>
    <row r="4" spans="1:6" ht="21" customHeight="1" x14ac:dyDescent="0.2">
      <c r="A4" s="3" t="s">
        <v>116</v>
      </c>
      <c r="B4" s="152">
        <f>'Summary and sign-off'!B4:F4</f>
        <v>45108</v>
      </c>
      <c r="C4" s="152"/>
      <c r="D4" s="152"/>
      <c r="E4" s="152"/>
    </row>
    <row r="5" spans="1:6" ht="21" customHeight="1" x14ac:dyDescent="0.2">
      <c r="A5" s="3" t="s">
        <v>117</v>
      </c>
      <c r="B5" s="152">
        <f>'Summary and sign-off'!B5:F5</f>
        <v>45473</v>
      </c>
      <c r="C5" s="152"/>
      <c r="D5" s="152"/>
      <c r="E5" s="152"/>
    </row>
    <row r="6" spans="1:6" ht="21" customHeight="1" x14ac:dyDescent="0.2">
      <c r="A6" s="3" t="s">
        <v>118</v>
      </c>
      <c r="B6" s="147" t="s">
        <v>85</v>
      </c>
      <c r="C6" s="147"/>
      <c r="D6" s="147"/>
      <c r="E6" s="147"/>
      <c r="F6" s="23"/>
    </row>
    <row r="7" spans="1:6" ht="21" customHeight="1" x14ac:dyDescent="0.2">
      <c r="A7" s="3" t="s">
        <v>58</v>
      </c>
      <c r="B7" s="147" t="s">
        <v>87</v>
      </c>
      <c r="C7" s="147"/>
      <c r="D7" s="147"/>
      <c r="E7" s="147"/>
      <c r="F7" s="23"/>
    </row>
    <row r="8" spans="1:6" ht="35.25" customHeight="1" x14ac:dyDescent="0.2">
      <c r="A8" s="157" t="s">
        <v>385</v>
      </c>
      <c r="B8" s="157"/>
      <c r="C8" s="164"/>
      <c r="D8" s="164"/>
      <c r="E8" s="164"/>
    </row>
    <row r="9" spans="1:6" ht="35.25" customHeight="1" x14ac:dyDescent="0.2">
      <c r="A9" s="165" t="s">
        <v>386</v>
      </c>
      <c r="B9" s="166"/>
      <c r="C9" s="166"/>
      <c r="D9" s="166"/>
      <c r="E9" s="166"/>
    </row>
    <row r="10" spans="1:6" ht="27" customHeight="1" x14ac:dyDescent="0.2">
      <c r="A10" s="24" t="s">
        <v>122</v>
      </c>
      <c r="B10" s="24" t="s">
        <v>65</v>
      </c>
      <c r="C10" s="24" t="s">
        <v>387</v>
      </c>
      <c r="D10" s="24" t="s">
        <v>388</v>
      </c>
      <c r="E10" s="24" t="s">
        <v>126</v>
      </c>
      <c r="F10" s="20"/>
    </row>
    <row r="11" spans="1:6" s="2" customFormat="1" hidden="1" x14ac:dyDescent="0.2">
      <c r="A11" s="98"/>
      <c r="B11" s="95"/>
      <c r="C11" s="99"/>
      <c r="D11" s="99"/>
      <c r="E11" s="100"/>
    </row>
    <row r="12" spans="1:6" s="2" customFormat="1" x14ac:dyDescent="0.2">
      <c r="A12" s="117" t="s">
        <v>389</v>
      </c>
      <c r="B12" s="118">
        <v>456</v>
      </c>
      <c r="C12" s="122" t="s">
        <v>390</v>
      </c>
      <c r="D12" s="122" t="s">
        <v>391</v>
      </c>
      <c r="E12" s="123"/>
    </row>
    <row r="13" spans="1:6" s="2" customFormat="1" x14ac:dyDescent="0.2">
      <c r="A13" s="117"/>
      <c r="B13" s="118"/>
      <c r="C13" s="122"/>
      <c r="D13" s="122"/>
      <c r="E13" s="123"/>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21"/>
      <c r="B21" s="118"/>
      <c r="C21" s="122"/>
      <c r="D21" s="122"/>
      <c r="E21" s="123"/>
    </row>
    <row r="22" spans="1:6" s="2" customFormat="1" x14ac:dyDescent="0.2">
      <c r="A22" s="121"/>
      <c r="B22" s="118"/>
      <c r="C22" s="122"/>
      <c r="D22" s="122"/>
      <c r="E22" s="123"/>
    </row>
    <row r="23" spans="1:6" s="2" customFormat="1" hidden="1" x14ac:dyDescent="0.2">
      <c r="A23" s="98"/>
      <c r="B23" s="95"/>
      <c r="C23" s="99"/>
      <c r="D23" s="99"/>
      <c r="E23" s="100"/>
    </row>
    <row r="24" spans="1:6" ht="34.5" customHeight="1" x14ac:dyDescent="0.2">
      <c r="A24" s="53" t="s">
        <v>392</v>
      </c>
      <c r="B24" s="62">
        <f>SUM(B11:B23)</f>
        <v>456</v>
      </c>
      <c r="C24" s="70" t="str">
        <f>IF(SUBTOTAL(3,B11:B23)=SUBTOTAL(103,B11:B23),'Summary and sign-off'!$A$48,'Summary and sign-off'!$A$49)</f>
        <v>Check - there are no hidden rows with data</v>
      </c>
      <c r="D24" s="153" t="str">
        <f>IF('Summary and sign-off'!F59='Summary and sign-off'!F54,'Summary and sign-off'!A51,'Summary and sign-off'!A50)</f>
        <v>Check - each entry provides sufficient information</v>
      </c>
      <c r="E24" s="153"/>
    </row>
    <row r="25" spans="1:6" ht="14.25" customHeight="1" x14ac:dyDescent="0.2">
      <c r="B25" s="17"/>
      <c r="C25" s="17"/>
      <c r="D25" s="17"/>
      <c r="E25" s="17"/>
    </row>
    <row r="26" spans="1:6" x14ac:dyDescent="0.2">
      <c r="A26" s="18" t="s">
        <v>393</v>
      </c>
      <c r="B26" s="17"/>
      <c r="C26" s="17"/>
      <c r="D26" s="17"/>
      <c r="E26" s="17"/>
    </row>
    <row r="27" spans="1:6" ht="12.75" customHeight="1" x14ac:dyDescent="0.2">
      <c r="A27" s="20" t="s">
        <v>355</v>
      </c>
      <c r="B27" s="17"/>
      <c r="C27" s="17"/>
      <c r="D27" s="17"/>
      <c r="E27" s="17"/>
    </row>
    <row r="28" spans="1:6" x14ac:dyDescent="0.2">
      <c r="A28" s="20" t="s">
        <v>83</v>
      </c>
      <c r="B28" s="19"/>
      <c r="C28" s="17"/>
      <c r="D28" s="17"/>
      <c r="E28" s="17"/>
      <c r="F28" s="17"/>
    </row>
    <row r="29" spans="1:6" x14ac:dyDescent="0.2">
      <c r="A29" s="20" t="s">
        <v>382</v>
      </c>
      <c r="C29" s="17"/>
      <c r="D29" s="17"/>
      <c r="E29" s="17"/>
      <c r="F29" s="17"/>
    </row>
    <row r="30" spans="1:6" ht="12.75" customHeight="1" x14ac:dyDescent="0.2">
      <c r="A30" s="20" t="s">
        <v>383</v>
      </c>
      <c r="B30" s="25"/>
      <c r="C30" s="22"/>
      <c r="D30" s="22"/>
      <c r="E30" s="22"/>
      <c r="F30" s="22"/>
    </row>
    <row r="31" spans="1:6" x14ac:dyDescent="0.2">
      <c r="B31" s="26"/>
      <c r="C31" s="17"/>
      <c r="D31" s="17"/>
      <c r="E31" s="17"/>
    </row>
    <row r="32" spans="1:6" hidden="1" x14ac:dyDescent="0.2">
      <c r="A32" s="17"/>
      <c r="B32" s="17"/>
      <c r="C32" s="17"/>
      <c r="D32" s="17"/>
    </row>
    <row r="33" spans="1:5" ht="12.75" hidden="1" customHeight="1" x14ac:dyDescent="0.2"/>
    <row r="34" spans="1:5" hidden="1" x14ac:dyDescent="0.2">
      <c r="A34" s="17"/>
      <c r="B34" s="17"/>
      <c r="C34" s="17"/>
      <c r="D34" s="17"/>
      <c r="E34" s="17"/>
    </row>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x14ac:dyDescent="0.2"/>
  </sheetData>
  <sheetProtection sheet="1" formatCells="0" insertRows="0" deleteRows="0"/>
  <mergeCells count="10">
    <mergeCell ref="D24:E24"/>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3"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53"/>
  <sheetViews>
    <sheetView topLeftCell="A5" zoomScaleNormal="100" workbookViewId="0">
      <selection activeCell="B7" sqref="B7:F7"/>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54" t="s">
        <v>394</v>
      </c>
      <c r="B1" s="154"/>
      <c r="C1" s="154"/>
      <c r="D1" s="154"/>
      <c r="E1" s="154"/>
      <c r="F1" s="154"/>
    </row>
    <row r="2" spans="1:6" ht="21" customHeight="1" x14ac:dyDescent="0.2">
      <c r="A2" s="3" t="s">
        <v>114</v>
      </c>
      <c r="B2" s="152" t="str">
        <f>'Summary and sign-off'!B2:F2</f>
        <v>Sport NZ</v>
      </c>
      <c r="C2" s="152"/>
      <c r="D2" s="152"/>
      <c r="E2" s="152"/>
      <c r="F2" s="152"/>
    </row>
    <row r="3" spans="1:6" ht="31.5" x14ac:dyDescent="0.2">
      <c r="A3" s="3" t="s">
        <v>115</v>
      </c>
      <c r="B3" s="152" t="str">
        <f>'Summary and sign-off'!B3:F3</f>
        <v>Raelene Castle</v>
      </c>
      <c r="C3" s="152"/>
      <c r="D3" s="152"/>
      <c r="E3" s="152"/>
      <c r="F3" s="152"/>
    </row>
    <row r="4" spans="1:6" ht="21" customHeight="1" x14ac:dyDescent="0.2">
      <c r="A4" s="3" t="s">
        <v>116</v>
      </c>
      <c r="B4" s="152">
        <f>'Summary and sign-off'!B4:F4</f>
        <v>45108</v>
      </c>
      <c r="C4" s="152"/>
      <c r="D4" s="152"/>
      <c r="E4" s="152"/>
      <c r="F4" s="152"/>
    </row>
    <row r="5" spans="1:6" ht="21" customHeight="1" x14ac:dyDescent="0.2">
      <c r="A5" s="3" t="s">
        <v>117</v>
      </c>
      <c r="B5" s="152">
        <f>'Summary and sign-off'!B5:F5</f>
        <v>45473</v>
      </c>
      <c r="C5" s="152"/>
      <c r="D5" s="152"/>
      <c r="E5" s="152"/>
      <c r="F5" s="152"/>
    </row>
    <row r="6" spans="1:6" ht="21" customHeight="1" x14ac:dyDescent="0.2">
      <c r="A6" s="3" t="s">
        <v>395</v>
      </c>
      <c r="B6" s="147" t="s">
        <v>85</v>
      </c>
      <c r="C6" s="147"/>
      <c r="D6" s="147"/>
      <c r="E6" s="147"/>
      <c r="F6" s="147"/>
    </row>
    <row r="7" spans="1:6" ht="21" customHeight="1" x14ac:dyDescent="0.2">
      <c r="A7" s="3" t="s">
        <v>58</v>
      </c>
      <c r="B7" s="147" t="s">
        <v>87</v>
      </c>
      <c r="C7" s="147"/>
      <c r="D7" s="147"/>
      <c r="E7" s="147"/>
      <c r="F7" s="147"/>
    </row>
    <row r="8" spans="1:6" ht="36" customHeight="1" x14ac:dyDescent="0.2">
      <c r="A8" s="157" t="s">
        <v>396</v>
      </c>
      <c r="B8" s="157"/>
      <c r="C8" s="157"/>
      <c r="D8" s="157"/>
      <c r="E8" s="157"/>
      <c r="F8" s="157"/>
    </row>
    <row r="9" spans="1:6" ht="36" customHeight="1" x14ac:dyDescent="0.2">
      <c r="A9" s="165" t="s">
        <v>397</v>
      </c>
      <c r="B9" s="166"/>
      <c r="C9" s="166"/>
      <c r="D9" s="166"/>
      <c r="E9" s="166"/>
      <c r="F9" s="166"/>
    </row>
    <row r="10" spans="1:6" ht="39" customHeight="1" x14ac:dyDescent="0.2">
      <c r="A10" s="24" t="s">
        <v>122</v>
      </c>
      <c r="B10" s="112" t="s">
        <v>398</v>
      </c>
      <c r="C10" s="112" t="s">
        <v>399</v>
      </c>
      <c r="D10" s="112" t="s">
        <v>400</v>
      </c>
      <c r="E10" s="112" t="s">
        <v>401</v>
      </c>
      <c r="F10" s="112" t="s">
        <v>402</v>
      </c>
    </row>
    <row r="11" spans="1:6" s="2" customFormat="1" x14ac:dyDescent="0.2">
      <c r="A11" s="117"/>
      <c r="B11" s="122" t="s">
        <v>403</v>
      </c>
      <c r="C11" s="125" t="s">
        <v>100</v>
      </c>
      <c r="D11" s="122" t="s">
        <v>404</v>
      </c>
      <c r="E11" s="126">
        <v>100</v>
      </c>
      <c r="F11" s="123"/>
    </row>
    <row r="12" spans="1:6" s="2" customFormat="1" x14ac:dyDescent="0.2">
      <c r="A12" s="117">
        <v>45136</v>
      </c>
      <c r="B12" s="124" t="s">
        <v>405</v>
      </c>
      <c r="C12" s="125" t="s">
        <v>100</v>
      </c>
      <c r="D12" s="124" t="s">
        <v>406</v>
      </c>
      <c r="E12" s="126">
        <v>100</v>
      </c>
      <c r="F12" s="127"/>
    </row>
    <row r="13" spans="1:6" s="2" customFormat="1" ht="25.5" x14ac:dyDescent="0.2">
      <c r="A13" s="117">
        <v>45137</v>
      </c>
      <c r="B13" s="124" t="s">
        <v>407</v>
      </c>
      <c r="C13" s="125" t="s">
        <v>100</v>
      </c>
      <c r="D13" s="124" t="s">
        <v>408</v>
      </c>
      <c r="E13" s="126">
        <v>100</v>
      </c>
      <c r="F13" s="127"/>
    </row>
    <row r="14" spans="1:6" s="2" customFormat="1" x14ac:dyDescent="0.2">
      <c r="A14" s="117">
        <v>45149</v>
      </c>
      <c r="B14" s="124" t="s">
        <v>409</v>
      </c>
      <c r="C14" s="125" t="s">
        <v>100</v>
      </c>
      <c r="D14" s="124" t="s">
        <v>404</v>
      </c>
      <c r="E14" s="126" t="s">
        <v>95</v>
      </c>
      <c r="F14" s="127"/>
    </row>
    <row r="15" spans="1:6" s="2" customFormat="1" x14ac:dyDescent="0.2">
      <c r="A15" s="117">
        <v>45153</v>
      </c>
      <c r="B15" s="124" t="s">
        <v>410</v>
      </c>
      <c r="C15" s="125" t="s">
        <v>100</v>
      </c>
      <c r="D15" s="124" t="s">
        <v>404</v>
      </c>
      <c r="E15" s="126" t="s">
        <v>95</v>
      </c>
      <c r="F15" s="127"/>
    </row>
    <row r="16" spans="1:6" s="2" customFormat="1" x14ac:dyDescent="0.2">
      <c r="A16" s="117">
        <v>45158</v>
      </c>
      <c r="B16" s="124" t="s">
        <v>411</v>
      </c>
      <c r="C16" s="125" t="s">
        <v>100</v>
      </c>
      <c r="D16" s="124" t="s">
        <v>404</v>
      </c>
      <c r="E16" s="126" t="s">
        <v>96</v>
      </c>
      <c r="F16" s="127"/>
    </row>
    <row r="17" spans="1:6" s="2" customFormat="1" ht="25.5" x14ac:dyDescent="0.2">
      <c r="A17" s="135" t="s">
        <v>412</v>
      </c>
      <c r="B17" s="124" t="s">
        <v>413</v>
      </c>
      <c r="C17" s="125" t="s">
        <v>101</v>
      </c>
      <c r="D17" s="124" t="s">
        <v>414</v>
      </c>
      <c r="E17" s="126" t="s">
        <v>96</v>
      </c>
      <c r="F17" s="127"/>
    </row>
    <row r="18" spans="1:6" s="2" customFormat="1" x14ac:dyDescent="0.2">
      <c r="A18" s="117">
        <v>45225</v>
      </c>
      <c r="B18" s="124" t="s">
        <v>415</v>
      </c>
      <c r="C18" s="125" t="s">
        <v>101</v>
      </c>
      <c r="D18" s="124" t="s">
        <v>416</v>
      </c>
      <c r="E18" s="126" t="s">
        <v>95</v>
      </c>
      <c r="F18" s="127"/>
    </row>
    <row r="19" spans="1:6" s="2" customFormat="1" x14ac:dyDescent="0.2">
      <c r="A19" s="117">
        <v>45208</v>
      </c>
      <c r="B19" s="124" t="s">
        <v>417</v>
      </c>
      <c r="C19" s="125" t="s">
        <v>101</v>
      </c>
      <c r="D19" s="124" t="s">
        <v>418</v>
      </c>
      <c r="E19" s="126" t="s">
        <v>95</v>
      </c>
      <c r="F19" s="127"/>
    </row>
    <row r="20" spans="1:6" s="2" customFormat="1" x14ac:dyDescent="0.2">
      <c r="A20" s="117">
        <v>45345</v>
      </c>
      <c r="B20" s="124" t="s">
        <v>419</v>
      </c>
      <c r="C20" s="125" t="s">
        <v>100</v>
      </c>
      <c r="D20" s="124" t="s">
        <v>420</v>
      </c>
      <c r="E20" s="126" t="s">
        <v>95</v>
      </c>
      <c r="F20" s="127"/>
    </row>
    <row r="21" spans="1:6" s="2" customFormat="1" ht="25.5" x14ac:dyDescent="0.2">
      <c r="A21" s="117">
        <v>45361</v>
      </c>
      <c r="B21" s="124" t="s">
        <v>421</v>
      </c>
      <c r="C21" s="125" t="s">
        <v>100</v>
      </c>
      <c r="D21" s="124" t="s">
        <v>422</v>
      </c>
      <c r="E21" s="126" t="s">
        <v>95</v>
      </c>
      <c r="F21" s="127"/>
    </row>
    <row r="22" spans="1:6" s="2" customFormat="1" x14ac:dyDescent="0.2">
      <c r="A22" s="135" t="s">
        <v>423</v>
      </c>
      <c r="B22" s="124" t="s">
        <v>424</v>
      </c>
      <c r="C22" s="125" t="s">
        <v>100</v>
      </c>
      <c r="D22" s="124" t="s">
        <v>425</v>
      </c>
      <c r="E22" s="126" t="s">
        <v>98</v>
      </c>
      <c r="F22" s="127"/>
    </row>
    <row r="23" spans="1:6" s="2" customFormat="1" ht="25.5" x14ac:dyDescent="0.2">
      <c r="A23" s="117">
        <v>45398</v>
      </c>
      <c r="B23" s="124" t="s">
        <v>426</v>
      </c>
      <c r="C23" s="125" t="s">
        <v>101</v>
      </c>
      <c r="D23" s="124" t="s">
        <v>427</v>
      </c>
      <c r="E23" s="126" t="s">
        <v>96</v>
      </c>
      <c r="F23" s="127"/>
    </row>
    <row r="24" spans="1:6" s="2" customFormat="1" x14ac:dyDescent="0.2">
      <c r="A24" s="117">
        <v>45430</v>
      </c>
      <c r="B24" s="124" t="s">
        <v>428</v>
      </c>
      <c r="C24" s="125" t="s">
        <v>101</v>
      </c>
      <c r="D24" s="124" t="s">
        <v>429</v>
      </c>
      <c r="E24" s="126" t="s">
        <v>95</v>
      </c>
      <c r="F24" s="127"/>
    </row>
    <row r="25" spans="1:6" s="2" customFormat="1" ht="25.5" x14ac:dyDescent="0.2">
      <c r="A25" s="117">
        <v>45437</v>
      </c>
      <c r="B25" s="124" t="s">
        <v>430</v>
      </c>
      <c r="C25" s="125" t="s">
        <v>100</v>
      </c>
      <c r="D25" s="124" t="s">
        <v>418</v>
      </c>
      <c r="E25" s="126" t="s">
        <v>95</v>
      </c>
      <c r="F25" s="127"/>
    </row>
    <row r="26" spans="1:6" s="2" customFormat="1" x14ac:dyDescent="0.2">
      <c r="A26" s="117">
        <v>45458</v>
      </c>
      <c r="B26" s="124" t="s">
        <v>431</v>
      </c>
      <c r="C26" s="125" t="s">
        <v>100</v>
      </c>
      <c r="D26" s="124" t="s">
        <v>432</v>
      </c>
      <c r="E26" s="126" t="s">
        <v>95</v>
      </c>
      <c r="F26" s="127"/>
    </row>
    <row r="27" spans="1:6" s="2" customFormat="1" x14ac:dyDescent="0.2">
      <c r="A27" s="117"/>
      <c r="B27" s="124"/>
      <c r="C27" s="125"/>
      <c r="D27" s="124"/>
      <c r="E27" s="126"/>
      <c r="F27" s="127"/>
    </row>
    <row r="28" spans="1:6" s="2" customFormat="1" x14ac:dyDescent="0.2">
      <c r="A28" s="117"/>
      <c r="B28" s="124"/>
      <c r="C28" s="125"/>
      <c r="D28" s="124"/>
      <c r="E28" s="126"/>
      <c r="F28" s="127"/>
    </row>
    <row r="29" spans="1:6" s="2" customFormat="1" x14ac:dyDescent="0.2">
      <c r="A29" s="117"/>
      <c r="B29" s="124"/>
      <c r="C29" s="125"/>
      <c r="D29" s="124"/>
      <c r="E29" s="126"/>
      <c r="F29" s="127"/>
    </row>
    <row r="30" spans="1:6" s="2" customFormat="1" x14ac:dyDescent="0.2">
      <c r="A30" s="117"/>
      <c r="B30" s="124"/>
      <c r="C30" s="125"/>
      <c r="D30" s="124"/>
      <c r="E30" s="126"/>
      <c r="F30" s="127"/>
    </row>
    <row r="31" spans="1:6" s="2" customFormat="1" x14ac:dyDescent="0.2">
      <c r="A31" s="117"/>
      <c r="B31" s="124"/>
      <c r="C31" s="125"/>
      <c r="D31" s="124"/>
      <c r="E31" s="126"/>
      <c r="F31" s="127"/>
    </row>
    <row r="32" spans="1:6" s="2" customFormat="1" hidden="1" x14ac:dyDescent="0.2">
      <c r="A32" s="94"/>
      <c r="B32" s="99"/>
      <c r="C32" s="101"/>
      <c r="D32" s="99"/>
      <c r="E32" s="102"/>
      <c r="F32" s="100"/>
    </row>
    <row r="33" spans="1:7" ht="34.5" customHeight="1" x14ac:dyDescent="0.2">
      <c r="A33" s="113" t="s">
        <v>433</v>
      </c>
      <c r="B33" s="114" t="s">
        <v>434</v>
      </c>
      <c r="C33" s="115">
        <f>C34+C35</f>
        <v>16</v>
      </c>
      <c r="D33" s="116" t="str">
        <f>IF(SUBTOTAL(3,C11:C32)=SUBTOTAL(103,C11:C32),'Summary and sign-off'!$A$48,'Summary and sign-off'!$A$49)</f>
        <v>Check - there are no hidden rows with data</v>
      </c>
      <c r="E33" s="153" t="str">
        <f>IF('Summary and sign-off'!F60='Summary and sign-off'!F54,'Summary and sign-off'!A52,'Summary and sign-off'!A50)</f>
        <v>Check - each entry provides sufficient information</v>
      </c>
      <c r="F33" s="153"/>
      <c r="G33" s="2"/>
    </row>
    <row r="34" spans="1:7" ht="25.5" customHeight="1" x14ac:dyDescent="0.25">
      <c r="A34" s="54"/>
      <c r="B34" s="55" t="s">
        <v>100</v>
      </c>
      <c r="C34" s="56">
        <f>COUNTIF(C11:C32,'Summary and sign-off'!A45)</f>
        <v>11</v>
      </c>
      <c r="D34" s="14"/>
      <c r="E34" s="15"/>
      <c r="F34" s="16"/>
    </row>
    <row r="35" spans="1:7" ht="25.5" customHeight="1" x14ac:dyDescent="0.25">
      <c r="A35" s="54"/>
      <c r="B35" s="55" t="s">
        <v>101</v>
      </c>
      <c r="C35" s="56">
        <f>COUNTIF(C11:C32,'Summary and sign-off'!A46)</f>
        <v>5</v>
      </c>
      <c r="D35" s="14"/>
      <c r="E35" s="15"/>
      <c r="F35" s="16"/>
    </row>
    <row r="36" spans="1:7" x14ac:dyDescent="0.2">
      <c r="A36" s="17"/>
      <c r="B36" s="18"/>
      <c r="C36" s="17"/>
      <c r="D36" s="19"/>
      <c r="E36" s="19"/>
      <c r="F36" s="17"/>
    </row>
    <row r="37" spans="1:7" x14ac:dyDescent="0.2">
      <c r="A37" s="18" t="s">
        <v>393</v>
      </c>
      <c r="B37" s="18"/>
      <c r="C37" s="18"/>
      <c r="D37" s="18"/>
      <c r="E37" s="18"/>
      <c r="F37" s="18"/>
    </row>
    <row r="38" spans="1:7" ht="12.75" customHeight="1" x14ac:dyDescent="0.2">
      <c r="A38" s="20" t="s">
        <v>355</v>
      </c>
      <c r="B38" s="17"/>
      <c r="C38" s="17"/>
      <c r="D38" s="17"/>
      <c r="E38" s="17"/>
    </row>
    <row r="39" spans="1:7" x14ac:dyDescent="0.2">
      <c r="A39" s="20" t="s">
        <v>83</v>
      </c>
      <c r="B39" s="19"/>
      <c r="C39" s="17"/>
      <c r="D39" s="17"/>
      <c r="E39" s="17"/>
      <c r="F39" s="17"/>
    </row>
    <row r="40" spans="1:7" x14ac:dyDescent="0.2">
      <c r="A40" s="20" t="s">
        <v>435</v>
      </c>
      <c r="B40" s="21"/>
      <c r="C40" s="21"/>
      <c r="D40" s="21"/>
      <c r="E40" s="21"/>
      <c r="F40" s="21"/>
    </row>
    <row r="41" spans="1:7" ht="12.75" customHeight="1" x14ac:dyDescent="0.2">
      <c r="A41" s="20" t="s">
        <v>436</v>
      </c>
      <c r="B41" s="17"/>
      <c r="C41" s="17"/>
      <c r="D41" s="17"/>
      <c r="E41" s="17"/>
      <c r="F41" s="17"/>
    </row>
    <row r="42" spans="1:7" ht="12.95" customHeight="1" x14ac:dyDescent="0.2">
      <c r="A42" s="20" t="s">
        <v>437</v>
      </c>
      <c r="B42" s="17"/>
      <c r="C42" s="17"/>
      <c r="D42" s="17"/>
      <c r="E42" s="17"/>
      <c r="F42" s="17"/>
    </row>
    <row r="43" spans="1:7" x14ac:dyDescent="0.2">
      <c r="A43" s="20" t="s">
        <v>438</v>
      </c>
      <c r="C43" s="17"/>
      <c r="D43" s="17"/>
      <c r="E43" s="17"/>
      <c r="F43" s="17"/>
    </row>
    <row r="44" spans="1:7" ht="12.75" customHeight="1" x14ac:dyDescent="0.2">
      <c r="A44" s="20" t="s">
        <v>383</v>
      </c>
      <c r="B44" s="20"/>
      <c r="C44" s="22"/>
      <c r="D44" s="22"/>
      <c r="E44" s="22"/>
      <c r="F44" s="22"/>
    </row>
    <row r="45" spans="1:7" ht="12.75" customHeight="1" x14ac:dyDescent="0.2">
      <c r="A45" s="20"/>
      <c r="B45" s="20"/>
      <c r="C45" s="22"/>
      <c r="D45" s="22"/>
      <c r="E45" s="22"/>
      <c r="F45" s="22"/>
    </row>
    <row r="46" spans="1:7" ht="12.75" hidden="1" customHeight="1" x14ac:dyDescent="0.2">
      <c r="A46" s="20"/>
      <c r="B46" s="20"/>
      <c r="C46" s="22"/>
      <c r="D46" s="22"/>
      <c r="E46" s="22"/>
      <c r="F46" s="22"/>
    </row>
    <row r="49" spans="1:6" hidden="1" x14ac:dyDescent="0.2">
      <c r="A49" s="18"/>
      <c r="B49" s="18"/>
      <c r="C49" s="18"/>
      <c r="D49" s="18"/>
      <c r="E49" s="18"/>
      <c r="F49" s="18"/>
    </row>
    <row r="50" spans="1:6" hidden="1" x14ac:dyDescent="0.2">
      <c r="A50" s="18"/>
      <c r="B50" s="18"/>
      <c r="C50" s="18"/>
      <c r="D50" s="18"/>
      <c r="E50" s="18"/>
      <c r="F50" s="18"/>
    </row>
    <row r="51" spans="1:6" hidden="1" x14ac:dyDescent="0.2">
      <c r="A51" s="18"/>
      <c r="B51" s="18"/>
      <c r="C51" s="18"/>
      <c r="D51" s="18"/>
      <c r="E51" s="18"/>
      <c r="F51" s="18"/>
    </row>
    <row r="52" spans="1:6" hidden="1" x14ac:dyDescent="0.2">
      <c r="A52" s="18"/>
      <c r="B52" s="18"/>
      <c r="C52" s="18"/>
      <c r="D52" s="18"/>
      <c r="E52" s="18"/>
      <c r="F52" s="18"/>
    </row>
    <row r="53" spans="1:6" hidden="1" x14ac:dyDescent="0.2">
      <c r="A53" s="18"/>
      <c r="B53" s="18"/>
      <c r="C53" s="18"/>
      <c r="D53" s="18"/>
      <c r="E53" s="18"/>
      <c r="F53" s="18"/>
    </row>
  </sheetData>
  <sheetProtection sheet="1" formatCells="0" insertRows="0" deleteRows="0"/>
  <dataConsolidate/>
  <mergeCells count="10">
    <mergeCell ref="E33:F33"/>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2"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A14 A15 A16 A17:A24 A25 A26 A27 A28 A29 A30 A31"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C11:C32</xm:sqref>
        </x14:dataValidation>
        <x14:dataValidation type="list" errorStyle="information" operator="greaterThan" allowBlank="1" showInputMessage="1" prompt="Provide specific $ value if possible" xr:uid="{00000000-0002-0000-0500-000003000000}">
          <x14:formula1>
            <xm:f>'Summary and sign-off'!$A$39:$A$44</xm:f>
          </x14:formula1>
          <xm:sqref>E11:E32</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Document" ma:contentTypeID="0x0101001E94C3B72383DE4DAA17349E0BBF252600CF303D3B26ED3B43AB85D38A55146184" ma:contentTypeVersion="106" ma:contentTypeDescription="Create a new document." ma:contentTypeScope="" ma:versionID="0cf85cc350c2d61506dd6b9307e69482">
  <xsd:schema xmlns:xsd="http://www.w3.org/2001/XMLSchema" xmlns:xs="http://www.w3.org/2001/XMLSchema" xmlns:p="http://schemas.microsoft.com/office/2006/metadata/properties" xmlns:ns2="cb59e981-3bc6-4f52-8729-00103bb11721" xmlns:ns3="542624b3-cffc-481c-adb1-2d25bc83b1e4" xmlns:ns4="4f9c820c-e7e2-444d-97ee-45f2b3485c1d" xmlns:ns5="acb26242-dc21-4420-965a-f5c1d8109808" xmlns:ns6="c91a514c-9034-4fa3-897a-8352025b26ed" xmlns:ns7="15ffb055-6eb4-45a1-bc20-bf2ac0d420da" xmlns:ns8="725c79e5-42ce-4aa0-ac78-b6418001f0d2" targetNamespace="http://schemas.microsoft.com/office/2006/metadata/properties" ma:root="true" ma:fieldsID="214d56542e917982344eda7846697351" ns2:_="" ns3:_="" ns4:_="" ns5:_="" ns6:_="" ns7:_="" ns8:_="">
    <xsd:import namespace="cb59e981-3bc6-4f52-8729-00103bb11721"/>
    <xsd:import namespace="542624b3-cffc-481c-adb1-2d25bc83b1e4"/>
    <xsd:import namespace="4f9c820c-e7e2-444d-97ee-45f2b3485c1d"/>
    <xsd:import namespace="acb26242-dc21-4420-965a-f5c1d8109808"/>
    <xsd:import namespace="c91a514c-9034-4fa3-897a-8352025b26ed"/>
    <xsd:import namespace="15ffb055-6eb4-45a1-bc20-bf2ac0d420da"/>
    <xsd:import namespace="725c79e5-42ce-4aa0-ac78-b6418001f0d2"/>
    <xsd:element name="properties">
      <xsd:complexType>
        <xsd:sequence>
          <xsd:element name="documentManagement">
            <xsd:complexType>
              <xsd:all>
                <xsd:element ref="ns2:g8fd85cd35464210baa823c6298a2c0b" minOccurs="0"/>
                <xsd:element ref="ns3:TaxCatchAll" minOccurs="0"/>
                <xsd:element ref="ns2:e3343728b5c74b3d8fb6c70eb949629a" minOccurs="0"/>
                <xsd:element ref="ns2:fbbc46e6080f4043b8eb3439e6385fb0" minOccurs="0"/>
                <xsd:element ref="ns4:DocumentType" minOccurs="0"/>
                <xsd:element ref="ns5:FinancialYear" minOccurs="0"/>
                <xsd:element ref="ns6:Year" minOccurs="0"/>
                <xsd:element ref="ns7:KeyWords" minOccurs="0"/>
                <xsd:element ref="ns4:Narrative" minOccurs="0"/>
                <xsd:element ref="ns4:Subactivity" minOccurs="0"/>
                <xsd:element ref="ns4:Case" minOccurs="0"/>
                <xsd:element ref="ns4:CategoryName" minOccurs="0"/>
                <xsd:element ref="ns4:CategoryValue" minOccurs="0"/>
                <xsd:element ref="ns4:FunctionGroup" minOccurs="0"/>
                <xsd:element ref="ns4:Function" minOccurs="0"/>
                <xsd:element ref="ns4:Activity" minOccurs="0"/>
                <xsd:element ref="ns6:Channel" minOccurs="0"/>
                <xsd:element ref="ns6:Team" minOccurs="0"/>
                <xsd:element ref="ns4:PRAType" minOccurs="0"/>
                <xsd:element ref="ns4:PRADate1" minOccurs="0"/>
                <xsd:element ref="ns4:PRADate2" minOccurs="0"/>
                <xsd:element ref="ns4:PRADate3" minOccurs="0"/>
                <xsd:element ref="ns4:PRADateDisposal" minOccurs="0"/>
                <xsd:element ref="ns4:PRADateTrigger" minOccurs="0"/>
                <xsd:element ref="ns4:PRAText1" minOccurs="0"/>
                <xsd:element ref="ns4:PRAText2" minOccurs="0"/>
                <xsd:element ref="ns4:PRAText3" minOccurs="0"/>
                <xsd:element ref="ns4:PRAText4" minOccurs="0"/>
                <xsd:element ref="ns4:PRAText5" minOccurs="0"/>
                <xsd:element ref="ns4:AggregationStatus" minOccurs="0"/>
                <xsd:element ref="ns4:Project" minOccurs="0"/>
                <xsd:element ref="ns4:RelatedPeople" minOccurs="0"/>
                <xsd:element ref="ns8:AggregationNarrative" minOccurs="0"/>
                <xsd:element ref="ns7:SecurityClassification" minOccurs="0"/>
                <xsd:element ref="ns6:Level2" minOccurs="0"/>
                <xsd:element ref="ns6:Level3" minOccurs="0"/>
                <xsd:element ref="ns5:RecordID" minOccurs="0"/>
                <xsd:element ref="ns5:PartnerType" minOccurs="0"/>
                <xsd:element ref="ns4:BusinessValue" minOccurs="0"/>
                <xsd:element ref="ns5:zMigrationID" minOccurs="0"/>
                <xsd:element ref="ns5:zLegacy" minOccurs="0"/>
                <xsd:element ref="ns5:zLegacyJSON" minOccurs="0"/>
                <xsd:element ref="ns2:Administrative" minOccurs="0"/>
                <xsd:element ref="ns2:ILDate" minOccurs="0"/>
                <xsd:element ref="ns2:RDClass" minOccurs="0"/>
                <xsd:element ref="ns2:ReadOnlyStatus" minOccurs="0"/>
                <xsd:element ref="ns2:TargetAudience"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59e981-3bc6-4f52-8729-00103bb11721" elementFormDefault="qualified">
    <xsd:import namespace="http://schemas.microsoft.com/office/2006/documentManagement/types"/>
    <xsd:import namespace="http://schemas.microsoft.com/office/infopath/2007/PartnerControls"/>
    <xsd:element name="g8fd85cd35464210baa823c6298a2c0b" ma:index="8" nillable="true" ma:taxonomy="true" ma:internalName="g8fd85cd35464210baa823c6298a2c0b" ma:taxonomyFieldName="Region" ma:displayName="Region" ma:readOnly="false" ma:default="" ma:fieldId="{08fd85cd-3546-4210-baa8-23c6298a2c0b}" ma:taxonomyMulti="true" ma:sspId="d68587a7-d467-4081-ac26-85ae31d62058" ma:termSetId="3c7aa39d-bcb1-4395-95e9-bdfc8bdf89a6" ma:anchorId="00000000-0000-0000-0000-000000000000" ma:open="false" ma:isKeyword="false">
      <xsd:complexType>
        <xsd:sequence>
          <xsd:element ref="pc:Terms" minOccurs="0" maxOccurs="1"/>
        </xsd:sequence>
      </xsd:complexType>
    </xsd:element>
    <xsd:element name="e3343728b5c74b3d8fb6c70eb949629a" ma:index="10" nillable="true" ma:taxonomy="true" ma:internalName="e3343728b5c74b3d8fb6c70eb949629a" ma:taxonomyFieldName="Sport" ma:displayName="Sporting Organisation" ma:indexed="true" ma:readOnly="false" ma:default="" ma:fieldId="{e3343728-b5c7-4b3d-8fb6-c70eb949629a}" ma:sspId="d68587a7-d467-4081-ac26-85ae31d62058" ma:termSetId="a96e8213-cbf3-4924-bad7-8386f835b475" ma:anchorId="00000000-0000-0000-0000-000000000000" ma:open="false" ma:isKeyword="false">
      <xsd:complexType>
        <xsd:sequence>
          <xsd:element ref="pc:Terms" minOccurs="0" maxOccurs="1"/>
        </xsd:sequence>
      </xsd:complexType>
    </xsd:element>
    <xsd:element name="fbbc46e6080f4043b8eb3439e6385fb0" ma:index="11" nillable="true" ma:taxonomy="true" ma:internalName="fbbc46e6080f4043b8eb3439e6385fb0" ma:taxonomyFieldName="Entity" ma:displayName="Related Entity" ma:readOnly="false" ma:default="" ma:fieldId="{fbbc46e6-080f-4043-b8eb-3439e6385fb0}" ma:sspId="d68587a7-d467-4081-ac26-85ae31d62058" ma:termSetId="9b085499-f376-44aa-942c-39fff5b57f3a" ma:anchorId="00000000-0000-0000-0000-000000000000" ma:open="false" ma:isKeyword="false">
      <xsd:complexType>
        <xsd:sequence>
          <xsd:element ref="pc:Terms" minOccurs="0" maxOccurs="1"/>
        </xsd:sequence>
      </xsd:complexType>
    </xsd:element>
    <xsd:element name="Administrative" ma:index="53" nillable="true" ma:displayName="Administrative" ma:hidden="true" ma:internalName="Administrative" ma:readOnly="false">
      <xsd:simpleType>
        <xsd:restriction base="dms:Text">
          <xsd:maxLength value="255"/>
        </xsd:restriction>
      </xsd:simpleType>
    </xsd:element>
    <xsd:element name="ILDate" ma:index="54" nillable="true" ma:displayName="Date" ma:format="DateTime" ma:hidden="true" ma:internalName="ILDate" ma:readOnly="false">
      <xsd:simpleType>
        <xsd:restriction base="dms:DateTime"/>
      </xsd:simpleType>
    </xsd:element>
    <xsd:element name="RDClass" ma:index="55" nillable="true" ma:displayName="Class" ma:default="TESTCLASS" ma:format="Dropdown" ma:hidden="true" ma:internalName="RDClass" ma:readOnly="false">
      <xsd:simpleType>
        <xsd:restriction base="dms:Choice">
          <xsd:enumeration value="DEFAULT"/>
          <xsd:enumeration value="TESTCLASS"/>
          <xsd:enumeration value="Changing from People Mangement to Policies and Procedures"/>
          <xsd:enumeration value="Events Management"/>
          <xsd:enumeration value="Activity Management"/>
          <xsd:enumeration value="Strategic Support"/>
          <xsd:enumeration value="World Cups Office Administration activity"/>
          <xsd:enumeration value="SportNZ - Business Improvement"/>
          <xsd:enumeration value="Active Events"/>
        </xsd:restriction>
      </xsd:simpleType>
    </xsd:element>
    <xsd:element name="ReadOnlyStatus" ma:index="56" nillable="true" ma:displayName="Read Only Status" ma:default="Open" ma:hidden="true" ma:internalName="ReadOnlyStatus" ma:readOnly="false">
      <xsd:simpleType>
        <xsd:restriction base="dms:Choice">
          <xsd:enumeration value="Open"/>
          <xsd:enumeration value="Document"/>
          <xsd:enumeration value="Document and Metadata"/>
        </xsd:restriction>
      </xsd:simpleType>
    </xsd:element>
    <xsd:element name="TargetAudience" ma:index="57" nillable="true" ma:displayName="Target Audience" ma:default="Internal" ma:format="RadioButtons" ma:hidden="true" ma:internalName="TargetAudience" ma:readOnly="false">
      <xsd:simpleType>
        <xsd:union memberTypes="dms:Text">
          <xsd:simpleType>
            <xsd:restriction base="dms:Choice">
              <xsd:enumeration value="Internal"/>
              <xsd:enumeration value="External"/>
            </xsd:restriction>
          </xsd:simpleType>
        </xsd:union>
      </xsd:simpleType>
    </xsd:element>
    <xsd:element name="MediaServiceMetadata" ma:index="58" nillable="true" ma:displayName="MediaServiceMetadata" ma:hidden="true" ma:internalName="MediaServiceMetadata" ma:readOnly="true">
      <xsd:simpleType>
        <xsd:restriction base="dms:Note"/>
      </xsd:simpleType>
    </xsd:element>
    <xsd:element name="MediaServiceFastMetadata" ma:index="59" nillable="true" ma:displayName="MediaServiceFastMetadata" ma:hidden="true" ma:internalName="MediaServiceFastMetadata" ma:readOnly="true">
      <xsd:simpleType>
        <xsd:restriction base="dms:Note"/>
      </xsd:simpleType>
    </xsd:element>
    <xsd:element name="MediaServiceAutoKeyPoints" ma:index="60" nillable="true" ma:displayName="MediaServiceAutoKeyPoints" ma:hidden="true" ma:internalName="MediaServiceAutoKeyPoints" ma:readOnly="true">
      <xsd:simpleType>
        <xsd:restriction base="dms:Note"/>
      </xsd:simpleType>
    </xsd:element>
    <xsd:element name="MediaServiceKeyPoints" ma:index="61" nillable="true" ma:displayName="KeyPoints" ma:internalName="MediaServiceKeyPoints" ma:readOnly="true">
      <xsd:simpleType>
        <xsd:restriction base="dms:Note">
          <xsd:maxLength value="255"/>
        </xsd:restriction>
      </xsd:simpleType>
    </xsd:element>
    <xsd:element name="MediaServiceAutoTags" ma:index="62" nillable="true" ma:displayName="Tags" ma:internalName="MediaServiceAutoTags" ma:readOnly="true">
      <xsd:simpleType>
        <xsd:restriction base="dms:Text"/>
      </xsd:simpleType>
    </xsd:element>
    <xsd:element name="MediaServiceGenerationTime" ma:index="63" nillable="true" ma:displayName="MediaServiceGenerationTime" ma:hidden="true" ma:internalName="MediaServiceGenerationTime" ma:readOnly="true">
      <xsd:simpleType>
        <xsd:restriction base="dms:Text"/>
      </xsd:simpleType>
    </xsd:element>
    <xsd:element name="MediaServiceEventHashCode" ma:index="64" nillable="true" ma:displayName="MediaServiceEventHashCode" ma:hidden="true" ma:internalName="MediaServiceEventHashCode" ma:readOnly="true">
      <xsd:simpleType>
        <xsd:restriction base="dms:Text"/>
      </xsd:simpleType>
    </xsd:element>
    <xsd:element name="MediaServiceObjectDetectorVersions" ma:index="67" nillable="true" ma:displayName="MediaServiceObjectDetectorVersions" ma:hidden="true" ma:indexed="true" ma:internalName="MediaServiceObjectDetectorVersions" ma:readOnly="true">
      <xsd:simpleType>
        <xsd:restriction base="dms:Text"/>
      </xsd:simpleType>
    </xsd:element>
    <xsd:element name="MediaServiceSearchProperties" ma:index="6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2624b3-cffc-481c-adb1-2d25bc83b1e4"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29c1fd97-ccf6-4a7b-921e-b4d02c325a92}" ma:internalName="TaxCatchAll" ma:showField="CatchAllData" ma:web="542624b3-cffc-481c-adb1-2d25bc83b1e4">
      <xsd:complexType>
        <xsd:complexContent>
          <xsd:extension base="dms:MultiChoiceLookup">
            <xsd:sequence>
              <xsd:element name="Value" type="dms:Lookup" maxOccurs="unbounded" minOccurs="0" nillable="true"/>
            </xsd:sequence>
          </xsd:extension>
        </xsd:complexContent>
      </xsd:complexType>
    </xsd:element>
    <xsd:element name="SharedWithUsers" ma:index="6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12" nillable="true" ma:displayName="Document Type" ma:format="Dropdown" ma:internalName="DocumentType">
      <xsd:simpleType>
        <xsd:restriction base="dms:Choice">
          <xsd:enumeration value="Application, certificate, consent related"/>
          <xsd:enumeration value="Briefing Paper"/>
          <xsd:enumeration value="Contract, Variation, Agreement"/>
          <xsd:enumeration value="Correspondence"/>
          <xsd:enumeration value="Data"/>
          <xsd:enumeration value="Email"/>
          <xsd:enumeration value="Employment related"/>
          <xsd:enumeration value="Filenote"/>
          <xsd:enumeration value="Financial related"/>
          <xsd:enumeration value="Image or Multi-media"/>
          <xsd:enumeration value="Knowledge, reference"/>
          <xsd:enumeration value="Meeting related"/>
          <xsd:enumeration value="Plan, programme, monitoring"/>
          <xsd:enumeration value="Policy, guideline, procedure"/>
          <xsd:enumeration value="Presentation"/>
          <xsd:enumeration value="Publication"/>
          <xsd:enumeration value="Report, or planning related"/>
          <xsd:enumeration value="Template, Checklist or Form"/>
        </xsd:restriction>
      </xsd:simpleType>
    </xsd:element>
    <xsd:element name="Narrative" ma:index="16" nillable="true" ma:displayName="Narrative" ma:description="Enter a description of what this document is about." ma:internalName="Narrative" ma:readOnly="false">
      <xsd:simpleType>
        <xsd:restriction base="dms:Note">
          <xsd:maxLength value="255"/>
        </xsd:restriction>
      </xsd:simpleType>
    </xsd:element>
    <xsd:element name="Subactivity" ma:index="19" nillable="true" ma:displayName="Subactivity" ma:default="" ma:hidden="true" ma:indexed="true" ma:internalName="Subactivity" ma:readOnly="false">
      <xsd:simpleType>
        <xsd:restriction base="dms:Text">
          <xsd:maxLength value="255"/>
        </xsd:restriction>
      </xsd:simpleType>
    </xsd:element>
    <xsd:element name="Case" ma:index="20" nillable="true" ma:displayName="Case" ma:default="NA" ma:hidden="true" ma:indexed="true" ma:internalName="Case" ma:readOnly="false">
      <xsd:simpleType>
        <xsd:restriction base="dms:Text">
          <xsd:maxLength value="255"/>
        </xsd:restriction>
      </xsd:simpleType>
    </xsd:element>
    <xsd:element name="CategoryName" ma:index="21" nillable="true" ma:displayName="Category" ma:format="Dropdown" ma:indexed="true" ma:internalName="CategoryName">
      <xsd:simpleType>
        <xsd:union memberTypes="dms:Text">
          <xsd:simpleType>
            <xsd:restriction base="dms:Choice">
              <xsd:enumeration value="Annual Report"/>
              <xsd:enumeration value="Annual Review Questions"/>
              <xsd:enumeration value="Estimates Questions"/>
              <xsd:enumeration value="Quarterly Performance Report"/>
              <xsd:enumeration value="Statement of Intent"/>
              <xsd:enumeration value="Statement of Performance Expectations"/>
              <xsd:enumeration value="Demonstrating Impact"/>
            </xsd:restriction>
          </xsd:simpleType>
        </xsd:union>
      </xsd:simpleType>
    </xsd:element>
    <xsd:element name="CategoryValue" ma:index="22" nillable="true" ma:displayName="Category 2" ma:default="NA" ma:hidden="true" ma:indexed="true" ma:internalName="CategoryValue" ma:readOnly="false">
      <xsd:simpleType>
        <xsd:restriction base="dms:Text">
          <xsd:maxLength value="255"/>
        </xsd:restriction>
      </xsd:simpleType>
    </xsd:element>
    <xsd:element name="FunctionGroup" ma:index="23" nillable="true" ma:displayName="Function Group" ma:default="Sport New Zealand" ma:hidden="true" ma:indexed="true" ma:internalName="FunctionGroup" ma:readOnly="false">
      <xsd:simpleType>
        <xsd:restriction base="dms:Text">
          <xsd:maxLength value="255"/>
        </xsd:restriction>
      </xsd:simpleType>
    </xsd:element>
    <xsd:element name="Function" ma:index="24" nillable="true" ma:displayName="Function" ma:default="Governance" ma:hidden="true" ma:indexed="true" ma:internalName="Function" ma:readOnly="false">
      <xsd:simpleType>
        <xsd:restriction base="dms:Text">
          <xsd:maxLength value="255"/>
        </xsd:restriction>
      </xsd:simpleType>
    </xsd:element>
    <xsd:element name="Activity" ma:index="25" nillable="true" ma:displayName="Activity" ma:default="Management and Governance" ma:hidden="true" ma:indexed="true" ma:internalName="Activity" ma:readOnly="false">
      <xsd:simpleType>
        <xsd:restriction base="dms:Text">
          <xsd:maxLength value="255"/>
        </xsd:restriction>
      </xsd:simpleType>
    </xsd:element>
    <xsd:element name="PRAType" ma:index="28" nillable="true" ma:displayName="PRA Type" ma:default="Doc" ma:hidden="true" ma:internalName="PRAType" ma:readOnly="false">
      <xsd:simpleType>
        <xsd:restriction base="dms:Text">
          <xsd:maxLength value="255"/>
        </xsd:restriction>
      </xsd:simpleType>
    </xsd:element>
    <xsd:element name="PRADate1" ma:index="29" nillable="true" ma:displayName="PRA Date 1" ma:format="DateOnly" ma:hidden="true" ma:internalName="PRADate1" ma:readOnly="false">
      <xsd:simpleType>
        <xsd:restriction base="dms:DateTime"/>
      </xsd:simpleType>
    </xsd:element>
    <xsd:element name="PRADate2" ma:index="30" nillable="true" ma:displayName="PRA Date 2" ma:format="DateOnly" ma:hidden="true" ma:internalName="PRADate2" ma:readOnly="false">
      <xsd:simpleType>
        <xsd:restriction base="dms:DateTime"/>
      </xsd:simpleType>
    </xsd:element>
    <xsd:element name="PRADate3" ma:index="31" nillable="true" ma:displayName="PRA Date 3" ma:format="DateOnly" ma:hidden="true" ma:internalName="PRADate3" ma:readOnly="false">
      <xsd:simpleType>
        <xsd:restriction base="dms:DateTime"/>
      </xsd:simpleType>
    </xsd:element>
    <xsd:element name="PRADateDisposal" ma:index="32" nillable="true" ma:displayName="PRA Date Disposal" ma:format="DateOnly" ma:hidden="true" ma:internalName="PRADateDisposal" ma:readOnly="false">
      <xsd:simpleType>
        <xsd:restriction base="dms:DateTime"/>
      </xsd:simpleType>
    </xsd:element>
    <xsd:element name="PRADateTrigger" ma:index="33" nillable="true" ma:displayName="PRA Date Trigger" ma:format="DateOnly" ma:hidden="true" ma:internalName="PRADateTrigger" ma:readOnly="false">
      <xsd:simpleType>
        <xsd:restriction base="dms:DateTime"/>
      </xsd:simpleType>
    </xsd:element>
    <xsd:element name="PRAText1" ma:index="34" nillable="true" ma:displayName="PRA Text 1" ma:hidden="true" ma:internalName="PRAText1" ma:readOnly="false">
      <xsd:simpleType>
        <xsd:restriction base="dms:Text">
          <xsd:maxLength value="255"/>
        </xsd:restriction>
      </xsd:simpleType>
    </xsd:element>
    <xsd:element name="PRAText2" ma:index="35" nillable="true" ma:displayName="PRA Text 2" ma:hidden="true" ma:internalName="PRAText2" ma:readOnly="false">
      <xsd:simpleType>
        <xsd:restriction base="dms:Text">
          <xsd:maxLength value="255"/>
        </xsd:restriction>
      </xsd:simpleType>
    </xsd:element>
    <xsd:element name="PRAText3" ma:index="36" nillable="true" ma:displayName="PRA Text 3" ma:hidden="true" ma:internalName="PRAText3" ma:readOnly="false">
      <xsd:simpleType>
        <xsd:restriction base="dms:Text">
          <xsd:maxLength value="255"/>
        </xsd:restriction>
      </xsd:simpleType>
    </xsd:element>
    <xsd:element name="PRAText4" ma:index="37" nillable="true" ma:displayName="PRA Text 4" ma:hidden="true" ma:internalName="PRAText4" ma:readOnly="false">
      <xsd:simpleType>
        <xsd:restriction base="dms:Text">
          <xsd:maxLength value="255"/>
        </xsd:restriction>
      </xsd:simpleType>
    </xsd:element>
    <xsd:element name="PRAText5" ma:index="38" nillable="true" ma:displayName="PRA Text 5" ma:hidden="true" ma:internalName="PRAText5" ma:readOnly="false">
      <xsd:simpleType>
        <xsd:restriction base="dms:Text">
          <xsd:maxLength value="255"/>
        </xsd:restriction>
      </xsd:simpleType>
    </xsd:element>
    <xsd:element name="AggregationStatus" ma:index="39" nillable="true" ma:displayName="Aggregation Status" ma:default="Normal" ma:format="Dropdown" ma:hidden="true" ma:internalName="AggregationStatus"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Project" ma:index="40" nillable="true" ma:displayName="Project" ma:default="NA" ma:hidden="true" ma:internalName="Project" ma:readOnly="false">
      <xsd:simpleType>
        <xsd:restriction base="dms:Text">
          <xsd:maxLength value="255"/>
        </xsd:restriction>
      </xsd:simpleType>
    </xsd:element>
    <xsd:element name="RelatedPeople" ma:index="41"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inessValue" ma:index="48" nillable="true" ma:displayName="Business Value" ma:hidden="true" ma:internalName="BusinessValu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b26242-dc21-4420-965a-f5c1d8109808" elementFormDefault="qualified">
    <xsd:import namespace="http://schemas.microsoft.com/office/2006/documentManagement/types"/>
    <xsd:import namespace="http://schemas.microsoft.com/office/infopath/2007/PartnerControls"/>
    <xsd:element name="FinancialYear" ma:index="13" nillable="true" ma:displayName="Financial Year" ma:default="2024-2025" ma:format="Dropdown" ma:internalName="FinancialYear">
      <xsd:simpleType>
        <xsd:union memberTypes="dms:Text">
          <xsd:simpleType>
            <xsd:restriction base="dms:Choice">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restriction>
          </xsd:simpleType>
        </xsd:union>
      </xsd:simpleType>
    </xsd:element>
    <xsd:element name="RecordID" ma:index="46" nillable="true" ma:displayName="RecordID" ma:hidden="true" ma:internalName="RecordID" ma:readOnly="false">
      <xsd:simpleType>
        <xsd:restriction base="dms:Text">
          <xsd:maxLength value="255"/>
        </xsd:restriction>
      </xsd:simpleType>
    </xsd:element>
    <xsd:element name="PartnerType" ma:index="47" nillable="true" ma:displayName="Partner Type" ma:hidden="true" ma:internalName="PartnerType" ma:readOnly="false">
      <xsd:simpleType>
        <xsd:restriction base="dms:Text">
          <xsd:maxLength value="255"/>
        </xsd:restriction>
      </xsd:simpleType>
    </xsd:element>
    <xsd:element name="zMigrationID" ma:index="50" nillable="true" ma:displayName="zMigrationID" ma:indexed="true" ma:internalName="zMigrationID">
      <xsd:simpleType>
        <xsd:restriction base="dms:Text">
          <xsd:maxLength value="255"/>
        </xsd:restriction>
      </xsd:simpleType>
    </xsd:element>
    <xsd:element name="zLegacy" ma:index="51" nillable="true" ma:displayName="zLegacy" ma:hidden="true" ma:internalName="zLegacy" ma:readOnly="false">
      <xsd:simpleType>
        <xsd:restriction base="dms:Note"/>
      </xsd:simpleType>
    </xsd:element>
    <xsd:element name="zLegacyJSON" ma:index="52" nillable="true" ma:displayName="zLegacyJSON" ma:hidden="true" ma:internalName="zLegacyJS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Year" ma:index="14" nillable="true" ma:displayName="Year" ma:default="2024" ma:format="Dropdown" ma:indexed="true" ma:internalName="Year">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Channel" ma:index="26" nillable="true" ma:displayName="Channel" ma:default="NA" ma:hidden="true" ma:indexed="true" ma:internalName="Channel" ma:readOnly="false">
      <xsd:simpleType>
        <xsd:restriction base="dms:Text">
          <xsd:maxLength value="255"/>
        </xsd:restriction>
      </xsd:simpleType>
    </xsd:element>
    <xsd:element name="Team" ma:index="27" nillable="true" ma:displayName="Team" ma:default="NA" ma:hidden="true" ma:indexed="true" ma:internalName="Team" ma:readOnly="false">
      <xsd:simpleType>
        <xsd:restriction base="dms:Text">
          <xsd:maxLength value="255"/>
        </xsd:restriction>
      </xsd:simpleType>
    </xsd:element>
    <xsd:element name="Level2" ma:index="44" nillable="true" ma:displayName="Level2" ma:default="NA" ma:hidden="true" ma:internalName="Level2" ma:readOnly="false">
      <xsd:simpleType>
        <xsd:restriction base="dms:Text">
          <xsd:maxLength value="255"/>
        </xsd:restriction>
      </xsd:simpleType>
    </xsd:element>
    <xsd:element name="Level3" ma:index="45" nillable="true" ma:displayName="Level3" ma:hidden="true" ma:internalName="Level3"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15" nillable="true" ma:displayName="Key Words" ma:internalName="KeyWords">
      <xsd:simpleType>
        <xsd:restriction base="dms:Text"/>
      </xsd:simpleType>
    </xsd:element>
    <xsd:element name="SecurityClassification" ma:index="43"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42" nillable="true" ma:displayName="Aggregation Narrative" ma:hidden="true" ma:internalName="AggregationNarrative"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42624b3-cffc-481c-adb1-2d25bc83b1e4">
      <UserInfo>
        <DisplayName>Ken Smart</DisplayName>
        <AccountId>87</AccountId>
        <AccountType/>
      </UserInfo>
      <UserInfo>
        <DisplayName>Nehalkumar patel</DisplayName>
        <AccountId>157</AccountId>
        <AccountType/>
      </UserInfo>
    </SharedWithUsers>
    <Subactivity xmlns="4f9c820c-e7e2-444d-97ee-45f2b3485c1d" xsi:nil="true"/>
    <PRADateDisposal xmlns="4f9c820c-e7e2-444d-97ee-45f2b3485c1d" xsi:nil="true"/>
    <BusinessValue xmlns="4f9c820c-e7e2-444d-97ee-45f2b3485c1d" xsi:nil="true"/>
    <zLegacy xmlns="acb26242-dc21-4420-965a-f5c1d8109808" xsi:nil="true"/>
    <KeyWords xmlns="15ffb055-6eb4-45a1-bc20-bf2ac0d420da" xsi:nil="true"/>
    <SecurityClassification xmlns="15ffb055-6eb4-45a1-bc20-bf2ac0d420da" xsi:nil="true"/>
    <PartnerType xmlns="acb26242-dc21-4420-965a-f5c1d8109808" xsi:nil="true"/>
    <Administrative xmlns="cb59e981-3bc6-4f52-8729-00103bb11721" xsi:nil="true"/>
    <ILDate xmlns="cb59e981-3bc6-4f52-8729-00103bb11721" xsi:nil="true"/>
    <PRADate3 xmlns="4f9c820c-e7e2-444d-97ee-45f2b3485c1d" xsi:nil="true"/>
    <PRAText5 xmlns="4f9c820c-e7e2-444d-97ee-45f2b3485c1d" xsi:nil="true"/>
    <Level2 xmlns="c91a514c-9034-4fa3-897a-8352025b26ed">NA</Level2>
    <Activity xmlns="4f9c820c-e7e2-444d-97ee-45f2b3485c1d">Management and Governance</Activity>
    <AggregationStatus xmlns="4f9c820c-e7e2-444d-97ee-45f2b3485c1d">Normal</AggregationStatus>
    <CategoryValue xmlns="4f9c820c-e7e2-444d-97ee-45f2b3485c1d">NA</CategoryValue>
    <PRADate2 xmlns="4f9c820c-e7e2-444d-97ee-45f2b3485c1d" xsi:nil="true"/>
    <fbbc46e6080f4043b8eb3439e6385fb0 xmlns="cb59e981-3bc6-4f52-8729-00103bb11721">
      <Terms xmlns="http://schemas.microsoft.com/office/infopath/2007/PartnerControls"/>
    </fbbc46e6080f4043b8eb3439e6385fb0>
    <Case xmlns="4f9c820c-e7e2-444d-97ee-45f2b3485c1d">Sport NZ</Case>
    <PRAText1 xmlns="4f9c820c-e7e2-444d-97ee-45f2b3485c1d" xsi:nil="true"/>
    <PRAText4 xmlns="4f9c820c-e7e2-444d-97ee-45f2b3485c1d" xsi:nil="true"/>
    <Level3 xmlns="c91a514c-9034-4fa3-897a-8352025b26ed" xsi:nil="true"/>
    <ReadOnlyStatus xmlns="cb59e981-3bc6-4f52-8729-00103bb11721">Open</ReadOnlyStatus>
    <Team xmlns="c91a514c-9034-4fa3-897a-8352025b26ed">NA</Team>
    <zMigrationID xmlns="acb26242-dc21-4420-965a-f5c1d8109808" xsi:nil="true"/>
    <e3343728b5c74b3d8fb6c70eb949629a xmlns="cb59e981-3bc6-4f52-8729-00103bb11721">
      <Terms xmlns="http://schemas.microsoft.com/office/infopath/2007/PartnerControls"/>
    </e3343728b5c74b3d8fb6c70eb949629a>
    <Project xmlns="4f9c820c-e7e2-444d-97ee-45f2b3485c1d">NA</Project>
    <RecordID xmlns="acb26242-dc21-4420-965a-f5c1d8109808" xsi:nil="true"/>
    <zLegacyJSON xmlns="acb26242-dc21-4420-965a-f5c1d8109808" xsi:nil="true"/>
    <FunctionGroup xmlns="4f9c820c-e7e2-444d-97ee-45f2b3485c1d">Sport New Zealand</FunctionGroup>
    <Function xmlns="4f9c820c-e7e2-444d-97ee-45f2b3485c1d">Governance</Function>
    <Channel xmlns="c91a514c-9034-4fa3-897a-8352025b26ed">NA</Channel>
    <RelatedPeople xmlns="4f9c820c-e7e2-444d-97ee-45f2b3485c1d">
      <UserInfo>
        <DisplayName/>
        <AccountId xsi:nil="true"/>
        <AccountType/>
      </UserInfo>
    </RelatedPeople>
    <AggregationNarrative xmlns="725c79e5-42ce-4aa0-ac78-b6418001f0d2" xsi:nil="true"/>
    <PRAType xmlns="4f9c820c-e7e2-444d-97ee-45f2b3485c1d">Doc</PRAType>
    <PRADate1 xmlns="4f9c820c-e7e2-444d-97ee-45f2b3485c1d" xsi:nil="true"/>
    <TaxCatchAll xmlns="542624b3-cffc-481c-adb1-2d25bc83b1e4" xsi:nil="true"/>
    <DocumentType xmlns="4f9c820c-e7e2-444d-97ee-45f2b3485c1d" xsi:nil="true"/>
    <FinancialYear xmlns="acb26242-dc21-4420-965a-f5c1d8109808">2023-24</FinancialYear>
    <PRAText3 xmlns="4f9c820c-e7e2-444d-97ee-45f2b3485c1d" xsi:nil="true"/>
    <TargetAudience xmlns="cb59e981-3bc6-4f52-8729-00103bb11721">Internal</TargetAudience>
    <Year xmlns="c91a514c-9034-4fa3-897a-8352025b26ed">2024</Year>
    <g8fd85cd35464210baa823c6298a2c0b xmlns="cb59e981-3bc6-4f52-8729-00103bb11721">
      <Terms xmlns="http://schemas.microsoft.com/office/infopath/2007/PartnerControls"/>
    </g8fd85cd35464210baa823c6298a2c0b>
    <Narrative xmlns="4f9c820c-e7e2-444d-97ee-45f2b3485c1d" xsi:nil="true"/>
    <CategoryName xmlns="4f9c820c-e7e2-444d-97ee-45f2b3485c1d" xsi:nil="true"/>
    <PRADateTrigger xmlns="4f9c820c-e7e2-444d-97ee-45f2b3485c1d" xsi:nil="true"/>
    <PRAText2 xmlns="4f9c820c-e7e2-444d-97ee-45f2b3485c1d" xsi:nil="true"/>
    <RDClass xmlns="cb59e981-3bc6-4f52-8729-00103bb11721">TESTCLASS</RDClass>
  </documentManagement>
</p:properties>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FC422C09-D084-415F-9D49-9F3CAA505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59e981-3bc6-4f52-8729-00103bb11721"/>
    <ds:schemaRef ds:uri="542624b3-cffc-481c-adb1-2d25bc83b1e4"/>
    <ds:schemaRef ds:uri="4f9c820c-e7e2-444d-97ee-45f2b3485c1d"/>
    <ds:schemaRef ds:uri="acb26242-dc21-4420-965a-f5c1d8109808"/>
    <ds:schemaRef ds:uri="c91a514c-9034-4fa3-897a-8352025b26ed"/>
    <ds:schemaRef ds:uri="15ffb055-6eb4-45a1-bc20-bf2ac0d420da"/>
    <ds:schemaRef ds:uri="725c79e5-42ce-4aa0-ac78-b6418001f0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542624b3-cffc-481c-adb1-2d25bc83b1e4"/>
    <ds:schemaRef ds:uri="4f9c820c-e7e2-444d-97ee-45f2b3485c1d"/>
    <ds:schemaRef ds:uri="acb26242-dc21-4420-965a-f5c1d8109808"/>
    <ds:schemaRef ds:uri="15ffb055-6eb4-45a1-bc20-bf2ac0d420da"/>
    <ds:schemaRef ds:uri="cb59e981-3bc6-4f52-8729-00103bb11721"/>
    <ds:schemaRef ds:uri="c91a514c-9034-4fa3-897a-8352025b26ed"/>
    <ds:schemaRef ds:uri="725c79e5-42ce-4aa0-ac78-b6418001f0d2"/>
  </ds:schemaRefs>
</ds:datastoreItem>
</file>

<file path=docMetadata/LabelInfo.xml><?xml version="1.0" encoding="utf-8"?>
<clbl:labelList xmlns:clbl="http://schemas.microsoft.com/office/2020/mipLabelMetadata">
  <clbl:label id="{9d5ca952-e4a5-43e6-b17c-c01d313ad135}" enabled="0" method="" siteId="{9d5ca952-e4a5-43e6-b17c-c01d313ad13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Paula Ryan</cp:lastModifiedBy>
  <cp:revision/>
  <dcterms:created xsi:type="dcterms:W3CDTF">2023-06-26T21:29:34Z</dcterms:created>
  <dcterms:modified xsi:type="dcterms:W3CDTF">2024-07-31T02:11:19Z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0x0101001E94C3B72383DE4DAA17349E0BBF252600CF303D3B26ED3B43AB85D38A55146184</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Entity">
    <vt:lpwstr/>
  </property>
  <property fmtid="{D5CDD505-2E9C-101B-9397-08002B2CF9AE}" pid="12" name="Region">
    <vt:lpwstr/>
  </property>
  <property fmtid="{D5CDD505-2E9C-101B-9397-08002B2CF9AE}" pid="13" name="Sport">
    <vt:lpwstr/>
  </property>
</Properties>
</file>