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https://sportnzgroup.sharepoint.com/sites/kcCETeam/TeamManager/2023/Expense claims/"/>
    </mc:Choice>
  </mc:AlternateContent>
  <xr:revisionPtr revIDLastSave="0" documentId="8_{B0B26796-4843-4032-8CC7-3CE2BB7962B1}" xr6:coauthVersionLast="47" xr6:coauthVersionMax="47" xr10:uidLastSave="{00000000-0000-0000-0000-000000000000}"/>
  <bookViews>
    <workbookView xWindow="-110" yWindow="-110" windowWidth="38620" windowHeight="2122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benefits'!$A$1:$F$49</definedName>
    <definedName name="_xlnm.Print_Area" localSheetId="0">'Guidance for agencies'!$A$1:$A$58</definedName>
    <definedName name="_xlnm.Print_Area" localSheetId="3">Hospitality!$A$1:$E$33</definedName>
    <definedName name="_xlnm.Print_Area" localSheetId="1">'Summary and sign-off'!$A$1:$F$23</definedName>
    <definedName name="_xlnm.Print_Area" localSheetId="2">Travel!$A$1:$E$232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9" i="1" l="1"/>
  <c r="B14" i="1"/>
  <c r="B197" i="1"/>
  <c r="B218" i="1" l="1"/>
  <c r="B154" i="1"/>
  <c r="B157" i="1"/>
  <c r="B122" i="1"/>
  <c r="B21" i="1"/>
  <c r="B22" i="1"/>
  <c r="B21" i="2"/>
  <c r="B175" i="1"/>
  <c r="B178" i="1"/>
  <c r="B188" i="1"/>
  <c r="B184" i="1"/>
  <c r="B168" i="1"/>
  <c r="B165" i="1"/>
  <c r="B161" i="1"/>
  <c r="B181" i="1"/>
  <c r="B219" i="1"/>
  <c r="B172" i="1"/>
  <c r="B113" i="1" l="1"/>
  <c r="B97" i="1" l="1"/>
  <c r="B124" i="1"/>
  <c r="B183" i="1"/>
  <c r="B170" i="1"/>
  <c r="B167" i="1"/>
  <c r="B20" i="2"/>
  <c r="B160" i="1"/>
  <c r="B158" i="1"/>
  <c r="B31" i="1"/>
  <c r="B125" i="1"/>
  <c r="B85" i="1"/>
  <c r="B63" i="1"/>
  <c r="B132" i="1"/>
  <c r="B51" i="1"/>
  <c r="B138" i="1"/>
  <c r="B180" i="1"/>
  <c r="B177" i="1"/>
  <c r="B164" i="1"/>
  <c r="B153" i="1"/>
  <c r="B29" i="1"/>
  <c r="B214" i="1"/>
  <c r="B144" i="1"/>
  <c r="B150" i="1"/>
  <c r="B147" i="1"/>
  <c r="B211" i="1"/>
  <c r="B146" i="1"/>
  <c r="B141" i="1"/>
  <c r="B140" i="1"/>
  <c r="B143" i="1"/>
  <c r="B121" i="1"/>
  <c r="B117" i="1"/>
  <c r="B109" i="1"/>
  <c r="B106" i="1"/>
  <c r="B103" i="1"/>
  <c r="B100" i="1"/>
  <c r="B98" i="1"/>
  <c r="B91" i="1"/>
  <c r="B94" i="1"/>
  <c r="B116" i="1"/>
  <c r="B87" i="1"/>
  <c r="B86" i="1"/>
  <c r="B198" i="1"/>
  <c r="B56" i="1"/>
  <c r="B83" i="1"/>
  <c r="B205" i="1"/>
  <c r="B80" i="1"/>
  <c r="B77" i="1"/>
  <c r="B52" i="1"/>
  <c r="B108" i="1"/>
  <c r="B82" i="1"/>
  <c r="B76" i="1"/>
  <c r="B74" i="1"/>
  <c r="B203" i="1"/>
  <c r="B201" i="1"/>
  <c r="B71" i="1"/>
  <c r="B68" i="1"/>
  <c r="B64" i="1"/>
  <c r="B61" i="1"/>
  <c r="B48" i="1"/>
  <c r="B79" i="1"/>
  <c r="B73" i="1"/>
  <c r="B70" i="1"/>
  <c r="B66" i="1"/>
  <c r="B24" i="1"/>
  <c r="B41" i="1"/>
  <c r="B27" i="1"/>
  <c r="B46" i="1"/>
  <c r="B55" i="1"/>
  <c r="D38" i="4"/>
  <c r="C25" i="3"/>
  <c r="C26" i="2"/>
  <c r="B6" i="13"/>
  <c r="E60" i="13"/>
  <c r="C60" i="13"/>
  <c r="C40" i="4"/>
  <c r="C39" i="4"/>
  <c r="B60" i="13"/>
  <c r="F60" i="13" s="1"/>
  <c r="E38" i="4" s="1"/>
  <c r="B59" i="13"/>
  <c r="D59" i="13"/>
  <c r="B58" i="13"/>
  <c r="D58" i="13"/>
  <c r="D57" i="13"/>
  <c r="D56" i="13"/>
  <c r="D55" i="13"/>
  <c r="B2" i="4"/>
  <c r="B3" i="4"/>
  <c r="B2" i="3"/>
  <c r="B3" i="3"/>
  <c r="B2" i="2"/>
  <c r="B3" i="2"/>
  <c r="B2" i="1"/>
  <c r="B3" i="1"/>
  <c r="C13" i="13"/>
  <c r="C12" i="13"/>
  <c r="C11" i="13"/>
  <c r="C17" i="13" s="1"/>
  <c r="B5" i="4"/>
  <c r="B4" i="4"/>
  <c r="B5" i="3"/>
  <c r="B4" i="3"/>
  <c r="B5" i="2"/>
  <c r="B4" i="2"/>
  <c r="B5" i="1"/>
  <c r="B4" i="1"/>
  <c r="F12" i="13"/>
  <c r="C38" i="4"/>
  <c r="F11" i="13"/>
  <c r="F13" i="13"/>
  <c r="B25" i="3"/>
  <c r="B26" i="2"/>
  <c r="B12" i="13" s="1"/>
  <c r="B13" i="13" l="1"/>
  <c r="F59" i="13"/>
  <c r="D25" i="3" s="1"/>
  <c r="F58" i="13"/>
  <c r="D26" i="2" s="1"/>
  <c r="B35" i="1"/>
  <c r="C16" i="13"/>
  <c r="B57" i="13"/>
  <c r="F57" i="13" s="1"/>
  <c r="D221" i="1" s="1"/>
  <c r="C35" i="1"/>
  <c r="B55" i="13"/>
  <c r="F55" i="13" s="1"/>
  <c r="D35" i="1" s="1"/>
  <c r="C15" i="13"/>
  <c r="B221" i="1"/>
  <c r="C191" i="1"/>
  <c r="C221" i="1"/>
  <c r="B191" i="1"/>
  <c r="B56" i="13"/>
  <c r="F56" i="13" s="1"/>
  <c r="D191" i="1" s="1"/>
  <c r="B15" i="13" l="1"/>
  <c r="B223" i="1"/>
  <c r="B17" i="13"/>
  <c r="B16" i="13"/>
  <c r="B11"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Paula Ryan</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B23" authorId="1" shapeId="0" xr:uid="{E7CBE83C-85DA-43D4-AAD7-57000EFED187}">
      <text>
        <r>
          <rPr>
            <b/>
            <sz val="9"/>
            <color indexed="81"/>
            <rFont val="Tahoma"/>
            <family val="2"/>
          </rPr>
          <t>Paula Ryan:</t>
        </r>
        <r>
          <rPr>
            <sz val="9"/>
            <color indexed="81"/>
            <rFont val="Tahoma"/>
            <family val="2"/>
          </rPr>
          <t xml:space="preserve">
paid for 3 pax, so changed to show amount for just 1 pax</t>
        </r>
      </text>
    </comment>
    <comment ref="A38"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194"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<sst xmlns="http://schemas.openxmlformats.org/spreadsheetml/2006/main" count="907" uniqueCount="488">
  <si>
    <t>Hospitality</t>
  </si>
  <si>
    <t>Travel</t>
  </si>
  <si>
    <t>Wellington</t>
  </si>
  <si>
    <t>Breakfast, 2 pax</t>
  </si>
  <si>
    <t>Dinner, 4 pax</t>
  </si>
  <si>
    <t>Uber</t>
  </si>
  <si>
    <t>Auckland</t>
  </si>
  <si>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</si>
  <si>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</si>
  <si>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</si>
  <si>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</si>
  <si>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</si>
  <si>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</si>
  <si>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</si>
  <si>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</si>
  <si>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</si>
  <si>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</si>
  <si>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</si>
  <si>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</si>
  <si>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</si>
  <si>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</si>
  <si>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</si>
  <si>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</si>
  <si>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</si>
  <si>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</si>
  <si>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</si>
  <si>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</si>
  <si>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</si>
  <si>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</si>
  <si>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</si>
  <si>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</si>
  <si>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</si>
  <si>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</si>
  <si>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</si>
  <si>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</si>
  <si>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</si>
  <si>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</si>
  <si>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</si>
  <si>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</si>
  <si>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</si>
  <si>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</si>
  <si>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</si>
  <si>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</si>
  <si>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</si>
  <si>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</si>
  <si>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</si>
  <si>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</si>
  <si>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</si>
  <si>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</si>
  <si>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</si>
  <si>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</si>
  <si>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</si>
  <si>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</si>
  <si>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</si>
  <si>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</si>
  <si>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</si>
  <si>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</si>
  <si>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</si>
  <si>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Sport NZ Group</t>
  </si>
  <si>
    <t>Chief Executive**</t>
  </si>
  <si>
    <t>Raelene Castle</t>
  </si>
  <si>
    <t>Disclosure period start***</t>
  </si>
  <si>
    <t>Disclosure period end***</t>
  </si>
  <si>
    <t>Agency totals check</t>
  </si>
  <si>
    <t>Chief Executive approval****</t>
  </si>
  <si>
    <t>This disclosure has not yet been approved by the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</si>
  <si>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</si>
  <si>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</si>
  <si>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</si>
  <si>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</si>
  <si>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</si>
  <si>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</si>
  <si>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</si>
  <si>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</si>
  <si>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</si>
  <si>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</si>
  <si>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</si>
  <si>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</si>
  <si>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</si>
  <si>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</si>
  <si>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</si>
  <si>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</si>
  <si>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</si>
  <si>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</si>
  <si>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</si>
  <si>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</si>
  <si>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</si>
  <si>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</si>
  <si>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</si>
  <si>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</si>
  <si>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</si>
  <si>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</si>
  <si>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</si>
  <si>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</si>
  <si>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</si>
  <si>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</si>
  <si>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</si>
  <si>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</si>
  <si>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</si>
  <si>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</si>
  <si>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</si>
  <si>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</si>
  <si>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</si>
  <si>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</si>
  <si>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</si>
  <si>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</si>
  <si>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</si>
  <si>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</si>
  <si>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</si>
  <si>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</si>
  <si>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</si>
  <si>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</si>
  <si>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</si>
  <si>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</si>
  <si>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</si>
  <si>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</si>
  <si>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</si>
  <si>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</si>
  <si>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</si>
  <si>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</si>
  <si>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</si>
  <si>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</si>
  <si>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</si>
  <si>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</si>
  <si>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</si>
  <si>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</si>
  <si>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</si>
  <si>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</si>
  <si>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</si>
  <si>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</si>
  <si>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8-13 July 2022</t>
  </si>
  <si>
    <t>Airfares</t>
  </si>
  <si>
    <t>Melbourne</t>
  </si>
  <si>
    <t>Speaking at NSC22</t>
  </si>
  <si>
    <t xml:space="preserve">Taxis </t>
  </si>
  <si>
    <t>Accommodation</t>
  </si>
  <si>
    <t>25 July - 13 Aug 2022</t>
  </si>
  <si>
    <t>Attending Commonwealth Games, Ministerial Meetings and site vist Paris for 2024  Olympics, meetings re NZ Inc</t>
  </si>
  <si>
    <t>Airfare</t>
  </si>
  <si>
    <t>Akld/London/Paris/Akld</t>
  </si>
  <si>
    <t>London</t>
  </si>
  <si>
    <t>local taxis (UK)</t>
  </si>
  <si>
    <t>meals</t>
  </si>
  <si>
    <t>Birmingham</t>
  </si>
  <si>
    <t>Taxi/Uber</t>
  </si>
  <si>
    <t>16-19 April 2023</t>
  </si>
  <si>
    <t>Attend ONOC events - prep forum for Brisbane 2032 and Oceania Strategic Partners Forum</t>
  </si>
  <si>
    <t>Brisbane</t>
  </si>
  <si>
    <t>Accommodation (x3 nights)</t>
  </si>
  <si>
    <t>Taxis</t>
  </si>
  <si>
    <t>Meals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</si>
  <si>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</si>
  <si>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</si>
  <si>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</si>
  <si>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Working in Wellington office; new Group Managers commence; FIFA WWC CE Forum</t>
  </si>
  <si>
    <t>ubers / Taxi</t>
  </si>
  <si>
    <t>Attending Olivia Podmore memorial ceremony</t>
  </si>
  <si>
    <t>Mileage (Akld/Hamilton return)</t>
  </si>
  <si>
    <t>Hamilton</t>
  </si>
  <si>
    <t>Working from Wellington office</t>
  </si>
  <si>
    <t>uber and taxi</t>
  </si>
  <si>
    <t>23-29 Aug 2022</t>
  </si>
  <si>
    <t>Cycling mtgs in Chch; 2-day HPSNZ board mtg, Wanaka</t>
  </si>
  <si>
    <t>Airfare (Wgtn/Nelson/Chch/QT/Wn)</t>
  </si>
  <si>
    <t>Multi stop</t>
  </si>
  <si>
    <t>Rental car (lrg, 4 pax, 4WD required)</t>
  </si>
  <si>
    <t>Queenstown</t>
  </si>
  <si>
    <t>ubers x3 and taxis x3</t>
  </si>
  <si>
    <t>QT/Wanaka</t>
  </si>
  <si>
    <t>Acommodation x3 nights</t>
  </si>
  <si>
    <t>Chch/QT/Wanaka</t>
  </si>
  <si>
    <t>Guest at Paralympics NZ Gala Dinner</t>
  </si>
  <si>
    <t>airfare (1 way to Akld)</t>
  </si>
  <si>
    <t>ubers x4</t>
  </si>
  <si>
    <t>1-3 September 2022</t>
  </si>
  <si>
    <t>Sport Otago RST visit; meeting other stakeholders in Dunedin; guest speaker at fundraiser, Invercargill</t>
  </si>
  <si>
    <t>Akld/Dn/Inv/Akd</t>
  </si>
  <si>
    <t xml:space="preserve">Dunedin </t>
  </si>
  <si>
    <t>Rental car (1-way)</t>
  </si>
  <si>
    <t>Dunedin/Invercargill</t>
  </si>
  <si>
    <t>Ubers</t>
  </si>
  <si>
    <t>Meeting with Minister, Parliament, working from Wellington Office</t>
  </si>
  <si>
    <t>Airfare (1-way Akld/Wn)</t>
  </si>
  <si>
    <t>Ubersx2</t>
  </si>
  <si>
    <t>Winter Games; Early return from annual leave to attend leadership course</t>
  </si>
  <si>
    <t>Airfare (1-way Queenstown to Akld)</t>
  </si>
  <si>
    <t>Queenstown/Akld</t>
  </si>
  <si>
    <t>11-16 September 2022</t>
  </si>
  <si>
    <t>Attending residential leadership course in Taupo</t>
  </si>
  <si>
    <t>Uber x2</t>
  </si>
  <si>
    <t>19-22 September 2022</t>
  </si>
  <si>
    <t>Working in Wellington/ Joint Ministers meeting/Sport NZ board mtg</t>
  </si>
  <si>
    <t>Akld/Wgtn return</t>
  </si>
  <si>
    <t>Ubers x6</t>
  </si>
  <si>
    <t>Wgtn/Akld</t>
  </si>
  <si>
    <t>Working in Wellington - FIFA WWC CE Forum; stakeholder meetings</t>
  </si>
  <si>
    <t>Airfare - one way</t>
  </si>
  <si>
    <t>Akld to Wgtn</t>
  </si>
  <si>
    <t>27 - 28 Sept 2022</t>
  </si>
  <si>
    <t>28 Sept - 4 Oct 2022</t>
  </si>
  <si>
    <t>Working in Auckland; Speaking at Disability Hui</t>
  </si>
  <si>
    <t>airfare</t>
  </si>
  <si>
    <t>Wgtn/Akld rtn</t>
  </si>
  <si>
    <t>Taxis x2, Uber 1</t>
  </si>
  <si>
    <t>5-10 Oct 2022</t>
  </si>
  <si>
    <t>Working in Auckland - internal and partner meetings</t>
  </si>
  <si>
    <t>ubers</t>
  </si>
  <si>
    <t>11-17 Oct 2022</t>
  </si>
  <si>
    <t>Working in Auckland; NZOC General Assembly, annual RST visit Manawatu</t>
  </si>
  <si>
    <t>Wgtn/Akld/PN</t>
  </si>
  <si>
    <t>uber x5</t>
  </si>
  <si>
    <t>20-30 Oct 2022</t>
  </si>
  <si>
    <t>Working from Auckland - FIFA WWC Draw, HSPNZ 2-day staff hui &amp; brd mtg; RST visit Northland, WRWC</t>
  </si>
  <si>
    <t>Wgtn to Akld</t>
  </si>
  <si>
    <t>Accommodation (2 nights)</t>
  </si>
  <si>
    <t>Whangarei</t>
  </si>
  <si>
    <t>ubers x8</t>
  </si>
  <si>
    <t>Mileage 320km</t>
  </si>
  <si>
    <t>Akld to Whangarei rtn</t>
  </si>
  <si>
    <t>30-1 November 2022</t>
  </si>
  <si>
    <t>Annual Connections Conference and Sport &amp; Recreation Awards</t>
  </si>
  <si>
    <t>Akld/Chch</t>
  </si>
  <si>
    <t>Ubers x2</t>
  </si>
  <si>
    <t>Christchurch</t>
  </si>
  <si>
    <t>Guest speaker at Netball NZ conference; meeting with HPSNZ staff</t>
  </si>
  <si>
    <t>7/8 November 2022</t>
  </si>
  <si>
    <t>Meetings in Wgtn; meetings with Minister</t>
  </si>
  <si>
    <t>Akld Wellington</t>
  </si>
  <si>
    <t xml:space="preserve">Ubers </t>
  </si>
  <si>
    <t>8-18 November 2022</t>
  </si>
  <si>
    <t>Meetings in Auckland; guest speaker at Aktive sector event; speaker at IWG 14-17 Nov</t>
  </si>
  <si>
    <t>21-22 November 2022</t>
  </si>
  <si>
    <t>Meetings in Wellington</t>
  </si>
  <si>
    <t>Airfare (1-way)</t>
  </si>
  <si>
    <t>Guest speaker at Recreation Conference, Nelson</t>
  </si>
  <si>
    <t>Wgtn/Nelson rtn</t>
  </si>
  <si>
    <t>Nelson</t>
  </si>
  <si>
    <t>25 Nov - 1Dec 2022</t>
  </si>
  <si>
    <t>Meetings in Auckland; guest speaker at Bold Steps conference; Sport Waikato visit</t>
  </si>
  <si>
    <t>29/30 Nov 2022</t>
  </si>
  <si>
    <t>Annual RST visit</t>
  </si>
  <si>
    <t xml:space="preserve">Mileage230km </t>
  </si>
  <si>
    <t>Akld/Hamilton rtn</t>
  </si>
  <si>
    <t>2-5 Dec 2022</t>
  </si>
  <si>
    <t>Attending Softball World Cup finals</t>
  </si>
  <si>
    <t>Ubers x3</t>
  </si>
  <si>
    <t>Wgtn Akld</t>
  </si>
  <si>
    <t>7/8 Dec 2022</t>
  </si>
  <si>
    <t>Joint Sport NZ &amp; HPSNZ 2-day board meeting</t>
  </si>
  <si>
    <t>Wgtn/Chch/Akld</t>
  </si>
  <si>
    <t xml:space="preserve">Service fee </t>
  </si>
  <si>
    <t>15-16 Dec 2022</t>
  </si>
  <si>
    <t xml:space="preserve">Annual Review Hearing; staff hui </t>
  </si>
  <si>
    <t>Akld/Wgtn rtn</t>
  </si>
  <si>
    <t>23-25 Jan 2023</t>
  </si>
  <si>
    <t>Meetings in Wellington / Auckland</t>
  </si>
  <si>
    <t>Meetings in Wellington and Auckland</t>
  </si>
  <si>
    <t>Airport parking - 3 days</t>
  </si>
  <si>
    <t>1-3 Feb 2023</t>
  </si>
  <si>
    <t>Meetings in Wellington/Auckland</t>
  </si>
  <si>
    <t>wellington</t>
  </si>
  <si>
    <t>Airport parking</t>
  </si>
  <si>
    <t>Akld-Wgtn one way</t>
  </si>
  <si>
    <t>Taxi</t>
  </si>
  <si>
    <t>Partner mtgs in Auckland; TA forum Hamilton</t>
  </si>
  <si>
    <t>Mileage</t>
  </si>
  <si>
    <t>Akld/Ham rtn</t>
  </si>
  <si>
    <t>Board meetings; Halberg Awards; Partner workshops in Akld</t>
  </si>
  <si>
    <t>Airfares - multiple changes due to Cyclone Gabrielle</t>
  </si>
  <si>
    <t>Wg/Ak/Wg</t>
  </si>
  <si>
    <t>14-5 March 2023</t>
  </si>
  <si>
    <t>14- 5 March 2023</t>
  </si>
  <si>
    <t>Parking</t>
  </si>
  <si>
    <t>8-13 March 2023</t>
  </si>
  <si>
    <t>Partner meetings in Akld; TA Forum Wgtn</t>
  </si>
  <si>
    <t>Wgtn to Akld rtn</t>
  </si>
  <si>
    <t>Ubers x5</t>
  </si>
  <si>
    <t>14-22 March 2023</t>
  </si>
  <si>
    <t>HPSNZ Performance Summit; speaking at Sector Youth Hui; internal meetings</t>
  </si>
  <si>
    <t>HPSNZ Performance Summit; speaking at Sector youth hui;  internal meetings</t>
  </si>
  <si>
    <t>Ubers &amp; taxis</t>
  </si>
  <si>
    <t>Taumata Maori board meeting</t>
  </si>
  <si>
    <t>22-24 March 2023</t>
  </si>
  <si>
    <t>Taumata induction day; Crown Agency meeting</t>
  </si>
  <si>
    <t>Airport parking, 4 days</t>
  </si>
  <si>
    <t>29 - 13 April 2023</t>
  </si>
  <si>
    <t>Internal meeting; Group Management offsite hui in Akld</t>
  </si>
  <si>
    <t>Meetings in Wellington - Minister, FIBA &amp; Basketball NZ; internal meetings</t>
  </si>
  <si>
    <t>Uber &amp; taxi (x2)</t>
  </si>
  <si>
    <t>Meetings with FWWC23; internal staff</t>
  </si>
  <si>
    <t>5-8 May 2023</t>
  </si>
  <si>
    <t>Uber &amp; taxi x4</t>
  </si>
  <si>
    <t>Wgtn &amp; Akld</t>
  </si>
  <si>
    <t>9-16 May 2023</t>
  </si>
  <si>
    <t>HPSNZ 2-day board mtg; NZRL meeting; internal meetings in Akld</t>
  </si>
  <si>
    <t>Ubers &amp; taxi x5</t>
  </si>
  <si>
    <t>Internal meetings, Akld</t>
  </si>
  <si>
    <t>17-22 May 2023</t>
  </si>
  <si>
    <t>25/26 May 2023</t>
  </si>
  <si>
    <t>Meeting with local stakeholders, Canterbury region; HPSNZ staff</t>
  </si>
  <si>
    <t>25 / 26 May 2023</t>
  </si>
  <si>
    <t>Uberx2</t>
  </si>
  <si>
    <t>Internal meetings; FIFA CE Forum; sub cttee mtg;</t>
  </si>
  <si>
    <t>Akld to Wgn</t>
  </si>
  <si>
    <t>Uber &amp; taxis</t>
  </si>
  <si>
    <t>7-13 June 2023</t>
  </si>
  <si>
    <t>Meetings with local stakeholders and staff, Akld</t>
  </si>
  <si>
    <t xml:space="preserve">Wgtn/Akld </t>
  </si>
  <si>
    <t>14-16 June 2023</t>
  </si>
  <si>
    <t>Sport NZ Board meeting (2 days) Invercargill; speaking at National HAL hui, Chch</t>
  </si>
  <si>
    <t>Wgtn/Inv/Chch/Akld</t>
  </si>
  <si>
    <t>Uber x4</t>
  </si>
  <si>
    <t>Chch/Akld</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</si>
  <si>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</si>
  <si>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</si>
  <si>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</si>
  <si>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</si>
  <si>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Attending opening of Te Hau Kori at Victoria University, Kelburn</t>
  </si>
  <si>
    <t>Cross govt sport diplomacy working dinner</t>
  </si>
  <si>
    <t>taxi</t>
  </si>
  <si>
    <t>Attending business unit offsite meeting</t>
  </si>
  <si>
    <t>uber</t>
  </si>
  <si>
    <t>Attending breakfast forum Akld CBD re governance; mtgs with stakeholders Mt Eden</t>
  </si>
  <si>
    <t>Uberx4</t>
  </si>
  <si>
    <t>Attending All Whites v Australia, Eden Park as guest of NZ Football</t>
  </si>
  <si>
    <t>Executive team dinner</t>
  </si>
  <si>
    <t xml:space="preserve">Group Executive 2-day offsite </t>
  </si>
  <si>
    <t>Meeting with Gaming organisations</t>
  </si>
  <si>
    <t>Meeting with staff member offsite</t>
  </si>
  <si>
    <t>Halberg Awards</t>
  </si>
  <si>
    <t>SLT offsite meeting</t>
  </si>
  <si>
    <t>Sector CE induction day, Akld</t>
  </si>
  <si>
    <t>S&amp;A Hui Akld</t>
  </si>
  <si>
    <t>Hearing at Parliament</t>
  </si>
  <si>
    <t>Speaking at TA Forum, Kilbirnie</t>
  </si>
  <si>
    <t>RST annual visit - Nuku Ora</t>
  </si>
  <si>
    <t>Taxi x2</t>
  </si>
  <si>
    <t>Staff Hui, offsite</t>
  </si>
  <si>
    <t>To DIA for meeting &amp; FWWC function at Parliament</t>
  </si>
  <si>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</si>
  <si>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</si>
  <si>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</si>
  <si>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</si>
  <si>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</si>
  <si>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</si>
  <si>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</si>
  <si>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</si>
  <si>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</si>
  <si>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</si>
  <si>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</si>
  <si>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</si>
  <si>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</si>
  <si>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Meeting with media - building relationships, knowledge share</t>
  </si>
  <si>
    <t>Lunch, 2 pax</t>
  </si>
  <si>
    <t>Meeting with UK Sport personnel - building international relations</t>
  </si>
  <si>
    <t>Breakfast, 4 pax</t>
  </si>
  <si>
    <t>Meeting with Sport Waikato and Hamilton City Council - building relationships</t>
  </si>
  <si>
    <t>Lunch, 4 pax</t>
  </si>
  <si>
    <t>Meeting with NZOC</t>
  </si>
  <si>
    <t>Induction for new sector Chief Executives</t>
  </si>
  <si>
    <t>Dinner, 14 pax</t>
  </si>
  <si>
    <t>Meeting with stakeholder</t>
  </si>
  <si>
    <t>Meeting with NSO Chair</t>
  </si>
  <si>
    <t>Meeting with key Partner organisation</t>
  </si>
  <si>
    <t>Lunch, 5 pax</t>
  </si>
  <si>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</si>
  <si>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</si>
  <si>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</si>
  <si>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</si>
  <si>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</si>
  <si>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</si>
  <si>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</si>
  <si>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</si>
  <si>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</si>
  <si>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</si>
  <si>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</si>
  <si>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</si>
  <si>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</si>
  <si>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</si>
  <si>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</si>
  <si>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</si>
  <si>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</si>
  <si>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</si>
  <si>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</si>
  <si>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</si>
  <si>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Ticket and hosting, All Blacks v Ireland</t>
  </si>
  <si>
    <t>NZ Rugby</t>
  </si>
  <si>
    <t>Ticket and hosting, All Blacks v Wallabies</t>
  </si>
  <si>
    <t>Eden Park Trust</t>
  </si>
  <si>
    <t>Ticket and hosting Women's RWC matches x 5</t>
  </si>
  <si>
    <t>Raelene Castle invited as part of role as WRWC Ambassador</t>
  </si>
  <si>
    <t>Ticket and hosting All Whites v Australia</t>
  </si>
  <si>
    <t>NZ Football</t>
  </si>
  <si>
    <t>Ticket and hosting at Phoenix match</t>
  </si>
  <si>
    <t>Wellington Phoenix</t>
  </si>
  <si>
    <t>Guest at FIFA WWC Draw + hosting</t>
  </si>
  <si>
    <t>FIFA</t>
  </si>
  <si>
    <t>X-govt hosting FIFA officials, lunch Waiheke Island</t>
  </si>
  <si>
    <t>Tourism NZ</t>
  </si>
  <si>
    <t>Late request to assist with hosting</t>
  </si>
  <si>
    <t>Ticket and hosting at Phoenix women's match</t>
  </si>
  <si>
    <t>Cake and Bubbles to celebrate Melbourne Cup</t>
  </si>
  <si>
    <t>TAB</t>
  </si>
  <si>
    <t>Shared with staff</t>
  </si>
  <si>
    <t>Hosting IWG international guests - activites &amp; lunch, Waiheke Island</t>
  </si>
  <si>
    <t>NZOC</t>
  </si>
  <si>
    <t>Ticket and hosting, T20 BlackCaps v India</t>
  </si>
  <si>
    <t>NZ Cricket</t>
  </si>
  <si>
    <t>Ticket and hosting at Men's Softball World Cup</t>
  </si>
  <si>
    <t>Softball NZ</t>
  </si>
  <si>
    <t>Ticket and hosting at ASB Tennis</t>
  </si>
  <si>
    <t>Tennis NZ</t>
  </si>
  <si>
    <t>Hosting at Takapoto Show Jumping event</t>
  </si>
  <si>
    <t>Ticket and hosting at Phoenix double header</t>
  </si>
  <si>
    <t>Phoenix</t>
  </si>
  <si>
    <t>Ticket and hosting to NZ v Sri Lanka Test</t>
  </si>
  <si>
    <t>Canterbury Cricket</t>
  </si>
  <si>
    <t>Ticket and hosting to Phoenix matches (x2) Eden Park</t>
  </si>
  <si>
    <t>NZ Cricket Awards</t>
  </si>
  <si>
    <t>22-26 March 2023</t>
  </si>
  <si>
    <t>Crankworx, Rotorua</t>
  </si>
  <si>
    <t>Crankworx</t>
  </si>
  <si>
    <t>23 and 26 March 2023</t>
  </si>
  <si>
    <t>Ticket and hosting to 2 matches All Whites v China</t>
  </si>
  <si>
    <t>29-31 March 2023</t>
  </si>
  <si>
    <t>Invitation to join SportNXT Ambassador programme</t>
  </si>
  <si>
    <t>Victorian State Govt</t>
  </si>
  <si>
    <t>Dinner guest with Basketball NZ &amp; FIBA</t>
  </si>
  <si>
    <t>BBNZ</t>
  </si>
  <si>
    <t>Ticket &amp; hosting</t>
  </si>
  <si>
    <t>Royal NZ Ballet</t>
  </si>
  <si>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</si>
  <si>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</si>
  <si>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</si>
  <si>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</si>
  <si>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</si>
  <si>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</si>
  <si>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19-20 June 2023</t>
  </si>
  <si>
    <t>Akl Wgtn Akl</t>
  </si>
  <si>
    <t>Rental car, 1 day in Chch</t>
  </si>
  <si>
    <t>Dinner meeting with WISPA</t>
  </si>
  <si>
    <t>Working from Wgtn Office; meetig with TAB, internal hui</t>
  </si>
  <si>
    <t>27-28 June 2023</t>
  </si>
  <si>
    <t>Working from Wgtn Office; MCH meeting and internal staff meetings</t>
  </si>
  <si>
    <t>Akld/Wn/Akld</t>
  </si>
  <si>
    <t>Meeting with key stakeholder</t>
  </si>
  <si>
    <t>Meeting with mentor</t>
  </si>
  <si>
    <t>Dinner, 25 pax</t>
  </si>
  <si>
    <t>Hosting NSO CEs after workshop - relationship building, knowledge share</t>
  </si>
  <si>
    <t>Hosting NSO CEs after workshop, social activity - relationship building</t>
  </si>
  <si>
    <t>social activity, 25 pax</t>
  </si>
  <si>
    <t>19-20 June2023</t>
  </si>
  <si>
    <t>Meal</t>
  </si>
  <si>
    <t>21/22 July 2022</t>
  </si>
  <si>
    <t xml:space="preserve">Wgtn/Akd </t>
  </si>
  <si>
    <t>Waiuru</t>
  </si>
  <si>
    <r>
      <t xml:space="preserve">Airfare (1-way Wgtn to Akld). </t>
    </r>
    <r>
      <rPr>
        <sz val="8"/>
        <rFont val="Arial"/>
        <family val="2"/>
      </rPr>
      <t xml:space="preserve"> All flights cancelled due to storm.</t>
    </r>
  </si>
  <si>
    <t>15-16 Aug 2022</t>
  </si>
  <si>
    <t>7-11 Sept 2022</t>
  </si>
  <si>
    <t>27-28 Sept 2022</t>
  </si>
  <si>
    <t>7-8 Feb 2023</t>
  </si>
  <si>
    <t>Aiport parking (2 days)</t>
  </si>
  <si>
    <t>Akld/Wgtn/Akld</t>
  </si>
  <si>
    <t>Uber x7</t>
  </si>
  <si>
    <t xml:space="preserve">local ubers (UK) </t>
  </si>
  <si>
    <t>Service fee</t>
  </si>
  <si>
    <t>airfare (1 way, rescheduled inc service fees)</t>
  </si>
  <si>
    <t>Ubers x4</t>
  </si>
  <si>
    <t>Meeting with local stakeholder</t>
  </si>
  <si>
    <t>Guest speaker at fundraiser event, Kilbirnie</t>
  </si>
  <si>
    <t>Keynote speaker at HAL hui, Silverstream</t>
  </si>
  <si>
    <t>Meeting at Parliament</t>
  </si>
  <si>
    <t>Attending Women's RWC, Eden Park</t>
  </si>
  <si>
    <t>Speaking at NSC22 (stayed privately)</t>
  </si>
  <si>
    <t>Speaking at NSC22 (Airfare covered by conference organiser)</t>
  </si>
  <si>
    <t>Accommodation (15 nights)</t>
  </si>
  <si>
    <t xml:space="preserve">Airfare </t>
  </si>
  <si>
    <t>Wgtn/QT</t>
  </si>
  <si>
    <t>Wellington &amp; Auckland</t>
  </si>
  <si>
    <t xml:space="preserve">Train London to Birmingham </t>
  </si>
  <si>
    <t>attending Commonwealth Games, Ministerial Meetings and site vist Paris for 2024  Olympics, meetings re NZ Inc</t>
  </si>
  <si>
    <r>
      <t xml:space="preserve">Mileage </t>
    </r>
    <r>
      <rPr>
        <sz val="9"/>
        <rFont val="Arial"/>
        <family val="2"/>
      </rPr>
      <t>(flights cancelled; no rental cars available; driven by staff member)</t>
    </r>
  </si>
  <si>
    <t>Invited as part of role as WRWC Ambassador</t>
  </si>
  <si>
    <t>1 July 2022 - 30 June 2023</t>
  </si>
  <si>
    <t>Phone &amp; data costs</t>
  </si>
  <si>
    <t>Phone &amp; data @ $38/month (ex gst) + additional data charges $14.34</t>
  </si>
  <si>
    <t>to/from airports</t>
  </si>
  <si>
    <t>Group Manager, Corporate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</si>
</sst>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Red]\(&quot;$&quot;#,##0.00\)"/>
    <numFmt numFmtId="165" formatCode="_(&quot;$&quot;* #,##0.00_);_(&quot;$&quot;* \(#,##0.00\);_(&quot;$&quot;* &quot;-&quot;??_);_(@_)"/>
    <numFmt numFmtId="166" formatCode="&quot;$&quot;#,##0.00"/>
    <numFmt numFmtId="167" formatCode="[$-1409]d\ mmmm\ yyyy;@"/>
    <numFmt numFmtId="168" formatCode="&quot;$&quot;#,##0.00;[Red]&quot;$&quot;#,##0.00"/>
  </numFmts>
  <fonts count="44"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2"/>
      <color theme="0" tint="-0.499984740745262"/>
      <name val="Arial"/>
      <family val="2"/>
    </font>
    <font>
      <sz val="10"/>
      <color rgb="FFFF0000"/>
      <name val="Arial"/>
      <family val="2"/>
    </font>
    <font>
      <sz val="8"/>
      <name val="Arial"/>
      <family val="2"/>
    </font>
    <font>
      <sz val="11"/>
      <color rgb="FF444444"/>
      <name val="Calibri"/>
      <family val="2"/>
      <charset val="1"/>
    </font>
    <font>
      <b/>
      <sz val="10"/>
      <color rgb="FFFF0000"/>
      <name val="Arial"/>
      <family val="2"/>
    </font>
    <font>
      <b/>
      <sz val="8"/>
      <color rgb="FF000000"/>
      <name val="Arial"/>
      <family val="2"/>
    </font>
    <font>
      <b/>
      <sz val="9"/>
      <color indexed="81"/>
      <name val="Tahoma"/>
      <family val="2"/>
    </font>
    <font>
      <sz val="9"/>
      <name val="Arial"/>
      <family val="2"/>
    </font>
  </fonts>
  <fills count="13">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
      <patternFill patternType="solid">
        <fgColor theme="8" tint="0.79998168889431442"/>
        <bgColor indexed="64"/>
      </patternFill>
    </fill>
  </fills>
  <borders count="12">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top style="thin">
        <color theme="4" tint="0.39997558519241921"/>
      </top>
      <bottom style="thin">
        <color theme="4" tint="0.39997558519241921"/>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76">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1"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3"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5" fillId="3" borderId="0" xfId="0" applyFont="1" applyFill="1" applyAlignment="1">
      <alignment horizontal="center" vertical="center" readingOrder="1"/>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5" fillId="3" borderId="0" xfId="0" applyNumberFormat="1" applyFont="1" applyFill="1" applyAlignment="1">
      <alignment horizontal="center" vertical="center" wrapText="1"/>
    </xf>
    <xf numFmtId="0" fontId="34" fillId="11" borderId="7" xfId="0" applyFont="1" applyFill="1" applyBorder="1" applyAlignment="1">
      <alignment horizontal="center" vertical="center" wrapText="1"/>
    </xf>
    <xf numFmtId="167" fontId="15" fillId="11" borderId="3" xfId="0" applyNumberFormat="1" applyFont="1" applyFill="1" applyBorder="1" applyAlignment="1" applyProtection="1">
      <alignment vertical="center"/>
      <protection locked="0"/>
    </xf>
    <xf numFmtId="164"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167" fontId="15" fillId="11" borderId="3" xfId="0" applyNumberFormat="1" applyFont="1" applyFill="1" applyBorder="1" applyAlignment="1" applyProtection="1">
      <alignment vertical="center" wrapText="1"/>
      <protection locked="0"/>
    </xf>
    <xf numFmtId="0" fontId="0" fillId="11" borderId="4" xfId="0" applyFill="1" applyBorder="1" applyAlignment="1" applyProtection="1">
      <alignment vertical="center" wrapText="1"/>
      <protection locked="0"/>
    </xf>
    <xf numFmtId="0" fontId="0" fillId="11" borderId="5" xfId="0" applyFill="1" applyBorder="1" applyAlignment="1" applyProtection="1">
      <alignment vertical="center" wrapText="1"/>
      <protection locked="0"/>
    </xf>
    <xf numFmtId="0" fontId="0" fillId="11" borderId="4" xfId="0" applyFill="1" applyBorder="1" applyAlignment="1" applyProtection="1">
      <alignment horizontal="left" vertical="center" wrapText="1"/>
      <protection locked="0"/>
    </xf>
    <xf numFmtId="0" fontId="15" fillId="11" borderId="4" xfId="0" applyFont="1" applyFill="1" applyBorder="1" applyAlignment="1" applyProtection="1">
      <alignment horizontal="left" vertical="center" wrapText="1"/>
      <protection locked="0"/>
    </xf>
    <xf numFmtId="164" fontId="15" fillId="11" borderId="4" xfId="0" applyNumberFormat="1" applyFont="1" applyFill="1" applyBorder="1" applyAlignment="1" applyProtection="1">
      <alignment horizontal="right" vertical="center" wrapText="1"/>
      <protection locked="0"/>
    </xf>
    <xf numFmtId="0" fontId="0" fillId="11" borderId="5" xfId="0" applyFill="1" applyBorder="1" applyAlignment="1" applyProtection="1">
      <alignment horizontal="left" vertical="center" wrapText="1"/>
      <protection locked="0"/>
    </xf>
    <xf numFmtId="0" fontId="35" fillId="3" borderId="0" xfId="0" applyFont="1" applyFill="1" applyAlignment="1">
      <alignment horizontal="center" vertical="center" wrapText="1"/>
    </xf>
    <xf numFmtId="0" fontId="0" fillId="11" borderId="0" xfId="0" applyFill="1" applyProtection="1">
      <protection locked="0"/>
    </xf>
    <xf numFmtId="0" fontId="18" fillId="2" borderId="0" xfId="0" applyFont="1" applyFill="1" applyAlignment="1">
      <alignment horizontal="left" vertical="center" wrapText="1" readingOrder="1"/>
    </xf>
    <xf numFmtId="167" fontId="15" fillId="10" borderId="3" xfId="0" applyNumberFormat="1" applyFont="1" applyFill="1" applyBorder="1" applyAlignment="1" applyProtection="1">
      <alignment horizontal="left" vertical="center"/>
      <protection locked="0"/>
    </xf>
    <xf numFmtId="167" fontId="15" fillId="11" borderId="3" xfId="0" applyNumberFormat="1" applyFont="1" applyFill="1" applyBorder="1" applyAlignment="1" applyProtection="1">
      <alignment horizontal="left" vertical="center"/>
      <protection locked="0"/>
    </xf>
    <xf numFmtId="167" fontId="15" fillId="11" borderId="3" xfId="0" applyNumberFormat="1" applyFont="1" applyFill="1" applyBorder="1" applyAlignment="1" applyProtection="1">
      <alignment horizontal="left" vertical="center" wrapText="1"/>
      <protection locked="0"/>
    </xf>
    <xf numFmtId="167" fontId="15" fillId="10" borderId="8" xfId="0" applyNumberFormat="1" applyFont="1" applyFill="1" applyBorder="1" applyAlignment="1" applyProtection="1">
      <alignment horizontal="left" vertical="center" wrapText="1"/>
      <protection locked="0"/>
    </xf>
    <xf numFmtId="0" fontId="20" fillId="3" borderId="0" xfId="0" applyFont="1" applyFill="1" applyAlignment="1">
      <alignment horizontal="left" vertical="center"/>
    </xf>
    <xf numFmtId="0" fontId="0" fillId="0" borderId="0" xfId="0" applyAlignment="1">
      <alignment horizontal="left" wrapText="1"/>
    </xf>
    <xf numFmtId="167" fontId="15" fillId="3" borderId="3" xfId="0" applyNumberFormat="1" applyFont="1" applyFill="1" applyBorder="1" applyAlignment="1" applyProtection="1">
      <alignment horizontal="left" vertical="center"/>
      <protection locked="0"/>
    </xf>
    <xf numFmtId="0" fontId="19" fillId="3" borderId="0" xfId="0" applyFont="1" applyFill="1" applyAlignment="1">
      <alignment horizontal="left" vertical="center" wrapText="1" readingOrder="1"/>
    </xf>
    <xf numFmtId="0" fontId="4" fillId="0" borderId="0" xfId="0" applyFont="1" applyAlignment="1">
      <alignment horizontal="left" wrapText="1"/>
    </xf>
    <xf numFmtId="0" fontId="0" fillId="0" borderId="0" xfId="0" applyAlignment="1">
      <alignment horizontal="left" vertical="center"/>
    </xf>
    <xf numFmtId="0" fontId="0" fillId="0" borderId="0" xfId="0" applyAlignment="1">
      <alignment horizontal="left" vertical="top" wrapText="1"/>
    </xf>
    <xf numFmtId="0" fontId="0" fillId="0" borderId="0" xfId="0" applyAlignment="1">
      <alignment horizontal="left"/>
    </xf>
    <xf numFmtId="167" fontId="15" fillId="11" borderId="3" xfId="0" applyNumberFormat="1" applyFont="1" applyFill="1" applyBorder="1" applyAlignment="1" applyProtection="1">
      <alignment horizontal="right" vertical="center"/>
      <protection locked="0"/>
    </xf>
    <xf numFmtId="0" fontId="0" fillId="0" borderId="0" xfId="0" applyAlignment="1" applyProtection="1">
      <alignment vertical="center"/>
      <protection locked="0"/>
    </xf>
    <xf numFmtId="0" fontId="0" fillId="12" borderId="0" xfId="0" applyFill="1" applyProtection="1">
      <protection locked="0"/>
    </xf>
    <xf numFmtId="164" fontId="15" fillId="0" borderId="4" xfId="0" applyNumberFormat="1" applyFont="1" applyBorder="1" applyAlignment="1" applyProtection="1">
      <alignment vertical="center" wrapText="1"/>
      <protection locked="0"/>
    </xf>
    <xf numFmtId="0" fontId="37" fillId="0" borderId="0" xfId="0" applyFont="1" applyAlignment="1" applyProtection="1">
      <alignment wrapText="1"/>
      <protection locked="0"/>
    </xf>
    <xf numFmtId="0" fontId="1" fillId="0" borderId="0" xfId="0" applyFont="1" applyAlignment="1" applyProtection="1">
      <alignment vertical="center" wrapText="1"/>
      <protection locked="0"/>
    </xf>
    <xf numFmtId="164" fontId="38" fillId="0" borderId="4" xfId="0" applyNumberFormat="1" applyFont="1" applyBorder="1" applyAlignment="1" applyProtection="1">
      <alignment vertical="center" wrapText="1"/>
      <protection locked="0"/>
    </xf>
    <xf numFmtId="0" fontId="39" fillId="0" borderId="0" xfId="0" applyFont="1" applyProtection="1">
      <protection locked="0"/>
    </xf>
    <xf numFmtId="164" fontId="37" fillId="0" borderId="4" xfId="0" applyNumberFormat="1" applyFont="1" applyBorder="1" applyAlignment="1" applyProtection="1">
      <alignment vertical="center" wrapText="1"/>
      <protection locked="0"/>
    </xf>
    <xf numFmtId="0" fontId="40" fillId="0" borderId="0" xfId="0" applyFont="1" applyAlignment="1" applyProtection="1">
      <alignment vertical="center" wrapText="1"/>
      <protection locked="0"/>
    </xf>
    <xf numFmtId="168" fontId="0" fillId="0" borderId="0" xfId="0" applyNumberFormat="1" applyAlignment="1" applyProtection="1">
      <alignment wrapText="1"/>
      <protection locked="0"/>
    </xf>
    <xf numFmtId="0" fontId="0" fillId="11" borderId="0" xfId="0" applyFill="1" applyAlignment="1" applyProtection="1">
      <alignment wrapText="1"/>
      <protection locked="0"/>
    </xf>
    <xf numFmtId="0" fontId="15" fillId="11" borderId="11" xfId="0" applyFont="1" applyFill="1" applyBorder="1" applyProtection="1">
      <protection locked="0"/>
    </xf>
    <xf numFmtId="0" fontId="41" fillId="0" borderId="0" xfId="0" applyFont="1" applyAlignment="1" applyProtection="1">
      <alignment vertical="center" wrapText="1"/>
      <protection locked="0"/>
    </xf>
    <xf numFmtId="0" fontId="15" fillId="0" borderId="0" xfId="0" applyFont="1" applyAlignment="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22" fillId="2" borderId="0" xfId="0" applyFont="1" applyFill="1" applyAlignment="1">
      <alignment horizontal="center" vertical="center"/>
    </xf>
    <xf numFmtId="0" fontId="36" fillId="11" borderId="2" xfId="0" applyFont="1" applyFill="1" applyBorder="1" applyAlignment="1" applyProtection="1">
      <alignment horizontal="left" vertical="center" wrapText="1" readingOrder="1"/>
      <protection locked="0"/>
    </xf>
    <xf numFmtId="167" fontId="36" fillId="11"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5" fillId="3" borderId="0" xfId="0" applyFont="1" applyFill="1" applyAlignment="1">
      <alignment horizontal="center" vertical="center" wrapText="1"/>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66675</xdr:colOff>
      <xdr:row>240</xdr:row>
      <xdr:rowOff>38100</xdr:rowOff>
    </xdr:from>
    <xdr:to>
      <xdr:col>16384</xdr:col>
      <xdr:colOff>609600</xdr:colOff>
      <xdr:row>318</xdr:row>
      <xdr:rowOff>1461</xdr:rowOff>
    </xdr:to>
    <xdr:pic>
      <xdr:nvPicPr>
        <xdr:cNvPr id="4" name="Picture 3">
          <a:extLst>
            <a:ext uri="{FF2B5EF4-FFF2-40B4-BE49-F238E27FC236}">
              <a16:creationId xmlns:a16="http://schemas.microsoft.com/office/drawing/2014/main" id="{93094E37-12A0-3BC7-F206-C2508E374545}"/>
            </a:ext>
          </a:extLst>
        </xdr:cNvPr>
        <xdr:cNvPicPr>
          <a:picLocks noChangeAspect="1"/>
        </xdr:cNvPicPr>
      </xdr:nvPicPr>
      <xdr:blipFill>
        <a:blip xmlns:r="http://schemas.openxmlformats.org/officeDocument/2006/relationships" r:embed="rId1"/>
        <a:stretch>
          <a:fillRect/>
        </a:stretch>
      </xdr:blipFill>
      <xdr:spPr>
        <a:xfrm>
          <a:off x="3400425" y="48663225"/>
          <a:ext cx="15363825" cy="137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1"/>
  <sheetViews>
    <sheetView topLeftCell="A25" zoomScaleNormal="100" workbookViewId="0">
      <selection activeCell="A42" sqref="A42"/>
    </sheetView>
  </sheetViews>
  <sheetFormatPr defaultColWidth="0" defaultRowHeight="14" zeroHeight="1" x14ac:dyDescent="0.3"/>
  <cols>
    <col min="1" max="1" width="219.26953125" style="40" customWidth="1"/>
    <col min="2" max="2" width="33.26953125" style="39" customWidth="1"/>
    <col min="3" max="16384" width="8.7265625" hidden="1"/>
  </cols>
  <sheetData>
    <row r="1" spans="1:2" ht="23.25" customHeight="1" x14ac:dyDescent="0.3">
      <c r="A1" s="38" t="s">
        <v>7</v>
      </c>
    </row>
    <row r="2" spans="1:2" ht="33" customHeight="1" x14ac:dyDescent="0.3">
      <c r="A2" s="93" t="s">
        <v>8</v>
      </c>
    </row>
    <row r="3" spans="1:2" ht="17.25" customHeight="1" x14ac:dyDescent="0.3"/>
    <row r="4" spans="1:2" ht="23.25" customHeight="1" x14ac:dyDescent="0.3">
      <c r="A4" s="115" t="s">
        <v>9</v>
      </c>
    </row>
    <row r="5" spans="1:2" ht="17.25" customHeight="1" x14ac:dyDescent="0.3"/>
    <row r="6" spans="1:2" ht="23.25" customHeight="1" x14ac:dyDescent="0.3">
      <c r="A6" s="41" t="s">
        <v>10</v>
      </c>
    </row>
    <row r="7" spans="1:2" ht="17.25" customHeight="1" x14ac:dyDescent="0.3">
      <c r="A7" s="42" t="s">
        <v>11</v>
      </c>
    </row>
    <row r="8" spans="1:2" ht="17.25" customHeight="1" x14ac:dyDescent="0.3">
      <c r="A8" s="42" t="s">
        <v>12</v>
      </c>
    </row>
    <row r="9" spans="1:2" ht="17.25" customHeight="1" x14ac:dyDescent="0.3">
      <c r="A9" s="42"/>
    </row>
    <row r="10" spans="1:2" ht="23.25" customHeight="1" x14ac:dyDescent="0.25">
      <c r="A10" s="41" t="s">
        <v>13</v>
      </c>
      <c r="B10" s="69" t="s">
        <v>14</v>
      </c>
    </row>
    <row r="11" spans="1:2" ht="17.25" customHeight="1" x14ac:dyDescent="0.3">
      <c r="A11" s="43" t="s">
        <v>15</v>
      </c>
    </row>
    <row r="12" spans="1:2" ht="17.25" customHeight="1" x14ac:dyDescent="0.3">
      <c r="A12" s="42" t="s">
        <v>16</v>
      </c>
    </row>
    <row r="13" spans="1:2" ht="17.25" customHeight="1" x14ac:dyDescent="0.3">
      <c r="A13" s="42" t="s">
        <v>17</v>
      </c>
    </row>
    <row r="14" spans="1:2" ht="17.25" customHeight="1" x14ac:dyDescent="0.3">
      <c r="A14" s="44" t="s">
        <v>18</v>
      </c>
    </row>
    <row r="15" spans="1:2" ht="17.25" customHeight="1" x14ac:dyDescent="0.3">
      <c r="A15" s="42" t="s">
        <v>19</v>
      </c>
    </row>
    <row r="16" spans="1:2" ht="17.25" customHeight="1" x14ac:dyDescent="0.3">
      <c r="A16" s="42"/>
    </row>
    <row r="17" spans="1:1" ht="23.25" customHeight="1" x14ac:dyDescent="0.3">
      <c r="A17" s="41" t="s">
        <v>20</v>
      </c>
    </row>
    <row r="18" spans="1:1" ht="17.25" customHeight="1" x14ac:dyDescent="0.3">
      <c r="A18" s="44" t="s">
        <v>21</v>
      </c>
    </row>
    <row r="19" spans="1:1" ht="17.25" customHeight="1" x14ac:dyDescent="0.3">
      <c r="A19" s="44" t="s">
        <v>22</v>
      </c>
    </row>
    <row r="20" spans="1:1" ht="17.25" customHeight="1" x14ac:dyDescent="0.3">
      <c r="A20" s="65" t="s">
        <v>23</v>
      </c>
    </row>
    <row r="21" spans="1:1" ht="17.25" customHeight="1" x14ac:dyDescent="0.3">
      <c r="A21" s="45"/>
    </row>
    <row r="22" spans="1:1" ht="23.25" customHeight="1" x14ac:dyDescent="0.3">
      <c r="A22" s="41" t="s">
        <v>24</v>
      </c>
    </row>
    <row r="23" spans="1:1" ht="17.25" customHeight="1" x14ac:dyDescent="0.3">
      <c r="A23" s="45" t="s">
        <v>25</v>
      </c>
    </row>
    <row r="24" spans="1:1" ht="17.25" customHeight="1" x14ac:dyDescent="0.3">
      <c r="A24" s="45"/>
    </row>
    <row r="25" spans="1:1" ht="23.25" customHeight="1" x14ac:dyDescent="0.3">
      <c r="A25" s="41" t="s">
        <v>26</v>
      </c>
    </row>
    <row r="26" spans="1:1" ht="17.25" customHeight="1" x14ac:dyDescent="0.3">
      <c r="A26" s="46" t="s">
        <v>27</v>
      </c>
    </row>
    <row r="27" spans="1:1" ht="32.25" customHeight="1" x14ac:dyDescent="0.3">
      <c r="A27" s="44" t="s">
        <v>28</v>
      </c>
    </row>
    <row r="28" spans="1:1" ht="17.25" customHeight="1" x14ac:dyDescent="0.3">
      <c r="A28" s="46" t="s">
        <v>1</v>
      </c>
    </row>
    <row r="29" spans="1:1" ht="32.25" customHeight="1" x14ac:dyDescent="0.3">
      <c r="A29" s="44" t="s">
        <v>29</v>
      </c>
    </row>
    <row r="30" spans="1:1" ht="17.25" customHeight="1" x14ac:dyDescent="0.3">
      <c r="A30" s="46" t="s">
        <v>0</v>
      </c>
    </row>
    <row r="31" spans="1:1" ht="17.25" customHeight="1" x14ac:dyDescent="0.3">
      <c r="A31" s="44" t="s">
        <v>30</v>
      </c>
    </row>
    <row r="32" spans="1:1" ht="17.25" customHeight="1" x14ac:dyDescent="0.3">
      <c r="A32" s="46" t="s">
        <v>31</v>
      </c>
    </row>
    <row r="33" spans="1:1" ht="32.25" customHeight="1" x14ac:dyDescent="0.3">
      <c r="A33" s="44" t="s">
        <v>32</v>
      </c>
    </row>
    <row r="34" spans="1:1" ht="32.25" customHeight="1" x14ac:dyDescent="0.3">
      <c r="A34" s="43" t="s">
        <v>33</v>
      </c>
    </row>
    <row r="35" spans="1:1" ht="17.25" customHeight="1" x14ac:dyDescent="0.3">
      <c r="A35" s="46" t="s">
        <v>34</v>
      </c>
    </row>
    <row r="36" spans="1:1" ht="32.25" customHeight="1" x14ac:dyDescent="0.3">
      <c r="A36" s="44" t="s">
        <v>35</v>
      </c>
    </row>
    <row r="37" spans="1:1" ht="32.25" customHeight="1" x14ac:dyDescent="0.3">
      <c r="A37" s="44" t="s">
        <v>36</v>
      </c>
    </row>
    <row r="38" spans="1:1" ht="32.25" customHeight="1" x14ac:dyDescent="0.3">
      <c r="A38" s="44" t="s">
        <v>37</v>
      </c>
    </row>
    <row r="39" spans="1:1" ht="17.25" customHeight="1" x14ac:dyDescent="0.3">
      <c r="A39" s="43"/>
    </row>
    <row r="40" spans="1:1" ht="22.5" customHeight="1" x14ac:dyDescent="0.3">
      <c r="A40" s="41" t="s">
        <v>38</v>
      </c>
    </row>
    <row r="41" spans="1:1" ht="17.25" customHeight="1" x14ac:dyDescent="0.3">
      <c r="A41" s="50" t="s">
        <v>39</v>
      </c>
    </row>
    <row r="42" spans="1:1" ht="17.25" customHeight="1" x14ac:dyDescent="0.3">
      <c r="A42" s="47" t="s">
        <v>40</v>
      </c>
    </row>
    <row r="43" spans="1:1" ht="17.25" customHeight="1" x14ac:dyDescent="0.3">
      <c r="A43" s="45" t="s">
        <v>41</v>
      </c>
    </row>
    <row r="44" spans="1:1" ht="32.25" customHeight="1" x14ac:dyDescent="0.3">
      <c r="A44" s="45" t="s">
        <v>42</v>
      </c>
    </row>
    <row r="45" spans="1:1" ht="32.25" customHeight="1" x14ac:dyDescent="0.3">
      <c r="A45" s="45" t="s">
        <v>43</v>
      </c>
    </row>
    <row r="46" spans="1:1" ht="17.25" customHeight="1" x14ac:dyDescent="0.3">
      <c r="A46" s="48" t="s">
        <v>44</v>
      </c>
    </row>
    <row r="47" spans="1:1" ht="32.25" customHeight="1" x14ac:dyDescent="0.3">
      <c r="A47" s="44" t="s">
        <v>45</v>
      </c>
    </row>
    <row r="48" spans="1:1" ht="32.25" customHeight="1" x14ac:dyDescent="0.3">
      <c r="A48" s="44" t="s">
        <v>46</v>
      </c>
    </row>
    <row r="49" spans="1:1" ht="32.25" customHeight="1" x14ac:dyDescent="0.3">
      <c r="A49" s="45" t="s">
        <v>47</v>
      </c>
    </row>
    <row r="50" spans="1:1" ht="17.25" customHeight="1" x14ac:dyDescent="0.3">
      <c r="A50" s="45" t="s">
        <v>48</v>
      </c>
    </row>
    <row r="51" spans="1:1" ht="17.25" customHeight="1" x14ac:dyDescent="0.3">
      <c r="A51" s="45" t="s">
        <v>49</v>
      </c>
    </row>
    <row r="52" spans="1:1" ht="17.25" customHeight="1" x14ac:dyDescent="0.3">
      <c r="A52" s="45"/>
    </row>
    <row r="53" spans="1:1" ht="22.5" customHeight="1" x14ac:dyDescent="0.3">
      <c r="A53" s="41" t="s">
        <v>50</v>
      </c>
    </row>
    <row r="54" spans="1:1" ht="32.25" customHeight="1" x14ac:dyDescent="0.3">
      <c r="A54" s="103" t="s">
        <v>51</v>
      </c>
    </row>
    <row r="55" spans="1:1" ht="17.25" customHeight="1" x14ac:dyDescent="0.3">
      <c r="A55" s="49" t="s">
        <v>52</v>
      </c>
    </row>
    <row r="56" spans="1:1" ht="17.25" customHeight="1" x14ac:dyDescent="0.3">
      <c r="A56" s="50" t="s">
        <v>53</v>
      </c>
    </row>
    <row r="57" spans="1:1" ht="17.25" customHeight="1" x14ac:dyDescent="0.3">
      <c r="A57" s="65" t="s">
        <v>54</v>
      </c>
    </row>
    <row r="58" spans="1:1" ht="17.25" customHeight="1" x14ac:dyDescent="0.3">
      <c r="A58" s="51" t="s">
        <v>55</v>
      </c>
    </row>
    <row r="59" spans="1:1" x14ac:dyDescent="0.3"/>
    <row r="61" spans="1:1" hidden="1" x14ac:dyDescent="0.3">
      <c r="A61" s="52"/>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57" r:id="rId6" display="They are posted on agency websites and linked to www.data.govt.nz. See: https://www.data.govt.nz/toolkit/how-do-i-add-or-update-our-chief-executive-expenses/" xr:uid="{00000000-0004-0000-0000-000007000000}"/>
    <hyperlink ref="A54" r:id="rId7" display="http://www.ssc.govt.nz/assets/Legacy/resources/Chief-Executive-Expense-Disclosure-Guide.pdf" xr:uid="{89B2B789-A49C-4A7B-AED1-AE94DC38F213}"/>
    <hyperlink ref="A2" r:id="rId8" display="http://www.ssc.govt.nz/assets/Legacy/resources/Chief-Executive-Expense-Disclosure-Guide.pdf" xr:uid="{00000000-0004-0000-0000-000005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B8" sqref="B8:F8"/>
    </sheetView>
  </sheetViews>
  <sheetFormatPr defaultColWidth="0" defaultRowHeight="12.5" zeroHeight="1" x14ac:dyDescent="0.25"/>
  <cols>
    <col min="1" max="1" width="35.7265625" customWidth="1"/>
    <col min="2" max="2" width="21.54296875" customWidth="1"/>
    <col min="3" max="3" width="33.54296875" customWidth="1"/>
    <col min="4" max="4" width="4.453125" customWidth="1"/>
    <col min="5" max="5" width="29" customWidth="1"/>
    <col min="6" max="6" width="19" customWidth="1"/>
    <col min="7" max="7" width="42" customWidth="1"/>
    <col min="8" max="11" width="9.1796875" hidden="1" customWidth="1"/>
    <col min="12" max="16384" width="9.1796875" hidden="1"/>
  </cols>
  <sheetData>
    <row r="1" spans="1:11" ht="26.25" customHeight="1" x14ac:dyDescent="0.25">
      <c r="A1" s="159" t="s">
        <v>56</v>
      </c>
      <c r="B1" s="159"/>
      <c r="C1" s="159"/>
      <c r="D1" s="159"/>
      <c r="E1" s="159"/>
      <c r="F1" s="159"/>
      <c r="G1" s="17"/>
      <c r="H1" s="17"/>
      <c r="I1" s="17"/>
      <c r="J1" s="17"/>
      <c r="K1" s="17"/>
    </row>
    <row r="2" spans="1:11" ht="21" customHeight="1" x14ac:dyDescent="0.25">
      <c r="A2" s="3" t="s">
        <v>57</v>
      </c>
      <c r="B2" s="160" t="s">
        <v>58</v>
      </c>
      <c r="C2" s="160"/>
      <c r="D2" s="160"/>
      <c r="E2" s="160"/>
      <c r="F2" s="160"/>
      <c r="G2" s="17"/>
      <c r="H2" s="17"/>
      <c r="I2" s="17"/>
      <c r="J2" s="17"/>
      <c r="K2" s="17"/>
    </row>
    <row r="3" spans="1:11" ht="21" customHeight="1" x14ac:dyDescent="0.25">
      <c r="A3" s="3" t="s">
        <v>59</v>
      </c>
      <c r="B3" s="160" t="s">
        <v>60</v>
      </c>
      <c r="C3" s="160"/>
      <c r="D3" s="160"/>
      <c r="E3" s="160"/>
      <c r="F3" s="160"/>
      <c r="G3" s="17"/>
      <c r="H3" s="17"/>
      <c r="I3" s="17"/>
      <c r="J3" s="17"/>
      <c r="K3" s="17"/>
    </row>
    <row r="4" spans="1:11" ht="21" customHeight="1" x14ac:dyDescent="0.25">
      <c r="A4" s="3" t="s">
        <v>61</v>
      </c>
      <c r="B4" s="161">
        <v>44743</v>
      </c>
      <c r="C4" s="161"/>
      <c r="D4" s="161"/>
      <c r="E4" s="161"/>
      <c r="F4" s="161"/>
      <c r="G4" s="17"/>
      <c r="H4" s="17"/>
      <c r="I4" s="17"/>
      <c r="J4" s="17"/>
      <c r="K4" s="17"/>
    </row>
    <row r="5" spans="1:11" ht="21" customHeight="1" x14ac:dyDescent="0.25">
      <c r="A5" s="3" t="s">
        <v>62</v>
      </c>
      <c r="B5" s="161">
        <v>45107</v>
      </c>
      <c r="C5" s="161"/>
      <c r="D5" s="161"/>
      <c r="E5" s="161"/>
      <c r="F5" s="161"/>
      <c r="G5" s="17"/>
      <c r="H5" s="17"/>
      <c r="I5" s="17"/>
      <c r="J5" s="17"/>
      <c r="K5" s="17"/>
    </row>
    <row r="6" spans="1:11" ht="21" customHeight="1" x14ac:dyDescent="0.25">
      <c r="A6" s="3" t="s">
        <v>63</v>
      </c>
      <c r="B6" s="158" t="str">
        <f>IF(AND(Travel!B7&lt;&gt;A30,Hospitality!B7&lt;&gt;A30,'All other expenses'!B7&lt;&gt;A30,'Gifts and benefits'!B7&lt;&gt;A30),A31,IF(AND(Travel!B7=A30,Hospitality!B7=A30,'All other expenses'!B7=A30,'Gifts and benefits'!B7=A30),A33,A32))</f>
        <v>Data and totals checked on all sheets</v>
      </c>
      <c r="C6" s="158"/>
      <c r="D6" s="158"/>
      <c r="E6" s="158"/>
      <c r="F6" s="158"/>
      <c r="G6" s="23"/>
      <c r="H6" s="17"/>
      <c r="I6" s="17"/>
      <c r="J6" s="17"/>
      <c r="K6" s="17"/>
    </row>
    <row r="7" spans="1:11" ht="21" customHeight="1" x14ac:dyDescent="0.25">
      <c r="A7" s="3" t="s">
        <v>64</v>
      </c>
      <c r="B7" s="157" t="s">
        <v>97</v>
      </c>
      <c r="C7" s="157"/>
      <c r="D7" s="157"/>
      <c r="E7" s="157"/>
      <c r="F7" s="157"/>
      <c r="G7" s="23"/>
      <c r="H7" s="17"/>
      <c r="I7" s="17"/>
      <c r="J7" s="17"/>
      <c r="K7" s="17"/>
    </row>
    <row r="8" spans="1:11" ht="21" customHeight="1" x14ac:dyDescent="0.25">
      <c r="A8" s="3" t="s">
        <v>66</v>
      </c>
      <c r="B8" s="157" t="s">
        <v>487</v>
      </c>
      <c r="C8" s="157"/>
      <c r="D8" s="157"/>
      <c r="E8" s="157"/>
      <c r="F8" s="157"/>
      <c r="G8" s="23"/>
      <c r="H8" s="17"/>
      <c r="I8" s="17"/>
      <c r="J8" s="17"/>
      <c r="K8" s="17"/>
    </row>
    <row r="9" spans="1:11" ht="66.75" customHeight="1" x14ac:dyDescent="0.25">
      <c r="A9" s="156" t="s">
        <v>68</v>
      </c>
      <c r="B9" s="156"/>
      <c r="C9" s="156"/>
      <c r="D9" s="156"/>
      <c r="E9" s="156"/>
      <c r="F9" s="156"/>
      <c r="G9" s="23"/>
      <c r="H9" s="17"/>
      <c r="I9" s="17"/>
      <c r="J9" s="17"/>
      <c r="K9" s="17"/>
    </row>
    <row r="10" spans="1:11" s="92" customFormat="1" ht="36" customHeight="1" x14ac:dyDescent="0.3">
      <c r="A10" s="86" t="s">
        <v>69</v>
      </c>
      <c r="B10" s="87" t="s">
        <v>70</v>
      </c>
      <c r="C10" s="87" t="s">
        <v>71</v>
      </c>
      <c r="D10" s="88"/>
      <c r="E10" s="89" t="s">
        <v>34</v>
      </c>
      <c r="F10" s="90" t="s">
        <v>72</v>
      </c>
      <c r="G10" s="91"/>
      <c r="H10" s="91"/>
      <c r="I10" s="91"/>
      <c r="J10" s="91"/>
      <c r="K10" s="91"/>
    </row>
    <row r="11" spans="1:11" ht="27.75" customHeight="1" x14ac:dyDescent="0.35">
      <c r="A11" s="8" t="s">
        <v>73</v>
      </c>
      <c r="B11" s="59">
        <f>B15+B16+B17</f>
        <v>62199.289999999994</v>
      </c>
      <c r="C11" s="66" t="str">
        <f>IF(Travel!B6="",A34,Travel!B6)</f>
        <v>Figures exclude GST</v>
      </c>
      <c r="D11" s="6"/>
      <c r="E11" s="8" t="s">
        <v>74</v>
      </c>
      <c r="F11" s="32">
        <f>'Gifts and benefits'!C38</f>
        <v>25</v>
      </c>
      <c r="G11" s="29"/>
      <c r="H11" s="29"/>
      <c r="I11" s="29"/>
      <c r="J11" s="29"/>
      <c r="K11" s="29"/>
    </row>
    <row r="12" spans="1:11" ht="27.75" customHeight="1" x14ac:dyDescent="0.35">
      <c r="A12" s="8" t="s">
        <v>0</v>
      </c>
      <c r="B12" s="59">
        <f>Hospitality!B26</f>
        <v>2716.27</v>
      </c>
      <c r="C12" s="66" t="str">
        <f>IF(Hospitality!B6="",A34,Hospitality!B6)</f>
        <v>Figures exclude GST</v>
      </c>
      <c r="D12" s="6"/>
      <c r="E12" s="8" t="s">
        <v>75</v>
      </c>
      <c r="F12" s="32">
        <f>'Gifts and benefits'!C39</f>
        <v>11</v>
      </c>
      <c r="G12" s="29"/>
      <c r="H12" s="29"/>
      <c r="I12" s="29"/>
      <c r="J12" s="29"/>
      <c r="K12" s="29"/>
    </row>
    <row r="13" spans="1:11" ht="27.75" customHeight="1" x14ac:dyDescent="0.25">
      <c r="A13" s="8" t="s">
        <v>76</v>
      </c>
      <c r="B13" s="59">
        <f>'All other expenses'!B25</f>
        <v>470.34</v>
      </c>
      <c r="C13" s="66" t="str">
        <f>IF('All other expenses'!B6="",A34,'All other expenses'!B6)</f>
        <v>Figures exclude GST</v>
      </c>
      <c r="D13" s="6"/>
      <c r="E13" s="8" t="s">
        <v>77</v>
      </c>
      <c r="F13" s="32">
        <f>'Gifts and benefits'!C40</f>
        <v>14</v>
      </c>
      <c r="G13" s="17"/>
      <c r="H13" s="17"/>
      <c r="I13" s="17"/>
      <c r="J13" s="17"/>
      <c r="K13" s="17"/>
    </row>
    <row r="14" spans="1:11" ht="12.75" customHeight="1" x14ac:dyDescent="0.25">
      <c r="A14" s="7"/>
      <c r="B14" s="60"/>
      <c r="C14" s="67"/>
      <c r="D14" s="33"/>
      <c r="E14" s="6"/>
      <c r="F14" s="34"/>
      <c r="G14" s="17"/>
      <c r="H14" s="17"/>
      <c r="I14" s="17"/>
      <c r="J14" s="17"/>
      <c r="K14" s="17"/>
    </row>
    <row r="15" spans="1:11" ht="27.75" customHeight="1" x14ac:dyDescent="0.25">
      <c r="A15" s="9" t="s">
        <v>78</v>
      </c>
      <c r="B15" s="61">
        <f>Travel!B35</f>
        <v>34144.550000000003</v>
      </c>
      <c r="C15" s="68" t="str">
        <f>C11</f>
        <v>Figures exclude GST</v>
      </c>
      <c r="D15" s="6"/>
      <c r="E15" s="6"/>
      <c r="F15" s="34"/>
      <c r="G15" s="17"/>
      <c r="H15" s="17"/>
      <c r="I15" s="17"/>
      <c r="J15" s="17"/>
      <c r="K15" s="17"/>
    </row>
    <row r="16" spans="1:11" ht="27.75" customHeight="1" x14ac:dyDescent="0.25">
      <c r="A16" s="9" t="s">
        <v>79</v>
      </c>
      <c r="B16" s="61">
        <f>Travel!B191</f>
        <v>27465.459999999988</v>
      </c>
      <c r="C16" s="68" t="str">
        <f>C11</f>
        <v>Figures exclude GST</v>
      </c>
      <c r="D16" s="35"/>
      <c r="E16" s="6"/>
      <c r="F16" s="36"/>
      <c r="G16" s="17"/>
      <c r="H16" s="17"/>
      <c r="I16" s="17"/>
      <c r="J16" s="17"/>
      <c r="K16" s="17"/>
    </row>
    <row r="17" spans="1:11" ht="27.75" customHeight="1" x14ac:dyDescent="0.25">
      <c r="A17" s="9" t="s">
        <v>80</v>
      </c>
      <c r="B17" s="61">
        <f>Travel!B221</f>
        <v>589.28</v>
      </c>
      <c r="C17" s="68" t="str">
        <f>C11</f>
        <v>Figures exclude GST</v>
      </c>
      <c r="D17" s="6"/>
      <c r="E17" s="6"/>
      <c r="F17" s="36"/>
      <c r="G17" s="17"/>
      <c r="H17" s="17"/>
      <c r="I17" s="17"/>
      <c r="J17" s="17"/>
      <c r="K17" s="17"/>
    </row>
    <row r="18" spans="1:11" ht="27.75" customHeight="1" x14ac:dyDescent="0.3">
      <c r="A18" s="17"/>
      <c r="B18" s="19"/>
      <c r="C18" s="17"/>
      <c r="D18" s="5"/>
      <c r="E18" s="5"/>
      <c r="F18" s="28"/>
      <c r="G18" s="17"/>
      <c r="H18" s="17"/>
      <c r="I18" s="17"/>
      <c r="J18" s="17"/>
      <c r="K18" s="17"/>
    </row>
    <row r="19" spans="1:11" ht="13" x14ac:dyDescent="0.3">
      <c r="A19" s="18" t="s">
        <v>81</v>
      </c>
      <c r="B19" s="19"/>
      <c r="C19" s="17"/>
      <c r="D19" s="17"/>
      <c r="E19" s="17"/>
      <c r="F19" s="17"/>
      <c r="G19" s="17"/>
      <c r="H19" s="17"/>
      <c r="I19" s="17"/>
      <c r="J19" s="17"/>
      <c r="K19" s="17"/>
    </row>
    <row r="20" spans="1:11" x14ac:dyDescent="0.25">
      <c r="A20" s="20" t="s">
        <v>82</v>
      </c>
      <c r="D20" s="17"/>
      <c r="E20" s="17"/>
      <c r="F20" s="17"/>
      <c r="G20" s="17"/>
      <c r="H20" s="17"/>
      <c r="I20" s="17"/>
      <c r="J20" s="17"/>
      <c r="K20" s="17"/>
    </row>
    <row r="21" spans="1:11" ht="12.75" customHeight="1" x14ac:dyDescent="0.25">
      <c r="A21" s="20" t="s">
        <v>83</v>
      </c>
      <c r="D21" s="17"/>
      <c r="E21" s="17"/>
      <c r="F21" s="17"/>
      <c r="G21" s="17"/>
      <c r="H21" s="17"/>
      <c r="I21" s="17"/>
      <c r="J21" s="17"/>
      <c r="K21" s="17"/>
    </row>
    <row r="22" spans="1:11" ht="12.75" customHeight="1" x14ac:dyDescent="0.25">
      <c r="A22" s="20" t="s">
        <v>84</v>
      </c>
      <c r="D22" s="17"/>
      <c r="E22" s="17"/>
      <c r="F22" s="17"/>
      <c r="G22" s="17"/>
      <c r="H22" s="17"/>
      <c r="I22" s="17"/>
      <c r="J22" s="17"/>
      <c r="K22" s="17"/>
    </row>
    <row r="23" spans="1:11" ht="12.75" customHeight="1" x14ac:dyDescent="0.25">
      <c r="A23" s="20" t="s">
        <v>85</v>
      </c>
      <c r="D23" s="17"/>
      <c r="E23" s="17"/>
      <c r="F23" s="17"/>
      <c r="G23" s="17"/>
      <c r="H23" s="17"/>
      <c r="I23" s="17"/>
      <c r="J23" s="17"/>
      <c r="K23" s="17"/>
    </row>
    <row r="24" spans="1:11" x14ac:dyDescent="0.25">
      <c r="A24" s="26"/>
      <c r="B24" s="17"/>
      <c r="C24" s="17"/>
      <c r="D24" s="17"/>
      <c r="E24" s="17"/>
      <c r="F24" s="17"/>
      <c r="G24" s="17"/>
      <c r="H24" s="17"/>
      <c r="I24" s="17"/>
      <c r="J24" s="17"/>
      <c r="K24" s="17"/>
    </row>
    <row r="25" spans="1:11" ht="13" hidden="1" x14ac:dyDescent="0.3">
      <c r="A25" s="12" t="s">
        <v>86</v>
      </c>
      <c r="B25" s="13"/>
      <c r="C25" s="13"/>
      <c r="D25" s="13"/>
      <c r="E25" s="13"/>
      <c r="F25" s="13"/>
      <c r="G25" s="17"/>
      <c r="H25" s="17"/>
      <c r="I25" s="17"/>
      <c r="J25" s="17"/>
      <c r="K25" s="17"/>
    </row>
    <row r="26" spans="1:11" ht="12.75" hidden="1" customHeight="1" x14ac:dyDescent="0.25">
      <c r="A26" s="11" t="s">
        <v>87</v>
      </c>
      <c r="B26" s="4"/>
      <c r="C26" s="4"/>
      <c r="D26" s="11"/>
      <c r="E26" s="11"/>
      <c r="F26" s="11"/>
      <c r="G26" s="17"/>
      <c r="H26" s="17"/>
      <c r="I26" s="17"/>
      <c r="J26" s="17"/>
      <c r="K26" s="17"/>
    </row>
    <row r="27" spans="1:11" hidden="1" x14ac:dyDescent="0.25">
      <c r="A27" s="10" t="s">
        <v>88</v>
      </c>
      <c r="B27" s="10"/>
      <c r="C27" s="10"/>
      <c r="D27" s="10"/>
      <c r="E27" s="10"/>
      <c r="F27" s="10"/>
      <c r="G27" s="17"/>
      <c r="H27" s="17"/>
      <c r="I27" s="17"/>
      <c r="J27" s="17"/>
      <c r="K27" s="17"/>
    </row>
    <row r="28" spans="1:11" hidden="1" x14ac:dyDescent="0.25">
      <c r="A28" s="10" t="s">
        <v>89</v>
      </c>
      <c r="B28" s="10"/>
      <c r="C28" s="10"/>
      <c r="D28" s="10"/>
      <c r="E28" s="10"/>
      <c r="F28" s="10"/>
      <c r="G28" s="17"/>
      <c r="H28" s="17"/>
      <c r="I28" s="17"/>
      <c r="J28" s="17"/>
      <c r="K28" s="17"/>
    </row>
    <row r="29" spans="1:11" hidden="1" x14ac:dyDescent="0.25">
      <c r="A29" s="11" t="s">
        <v>90</v>
      </c>
      <c r="B29" s="11"/>
      <c r="C29" s="11"/>
      <c r="D29" s="11"/>
      <c r="E29" s="11"/>
      <c r="F29" s="11"/>
      <c r="G29" s="17"/>
      <c r="H29" s="17"/>
      <c r="I29" s="17"/>
      <c r="J29" s="17"/>
      <c r="K29" s="17"/>
    </row>
    <row r="30" spans="1:11" hidden="1" x14ac:dyDescent="0.25">
      <c r="A30" s="11" t="s">
        <v>91</v>
      </c>
      <c r="B30" s="11"/>
      <c r="C30" s="11"/>
      <c r="D30" s="11"/>
      <c r="E30" s="11"/>
      <c r="F30" s="11"/>
      <c r="G30" s="17"/>
      <c r="H30" s="17"/>
      <c r="I30" s="17"/>
      <c r="J30" s="17"/>
      <c r="K30" s="17"/>
    </row>
    <row r="31" spans="1:11" hidden="1" x14ac:dyDescent="0.25">
      <c r="A31" s="10" t="s">
        <v>92</v>
      </c>
      <c r="B31" s="10"/>
      <c r="C31" s="10"/>
      <c r="D31" s="10"/>
      <c r="E31" s="10"/>
      <c r="F31" s="10"/>
      <c r="G31" s="17"/>
      <c r="H31" s="17"/>
      <c r="I31" s="17"/>
      <c r="J31" s="17"/>
      <c r="K31" s="17"/>
    </row>
    <row r="32" spans="1:11" hidden="1" x14ac:dyDescent="0.25">
      <c r="A32" s="10" t="s">
        <v>93</v>
      </c>
      <c r="B32" s="10"/>
      <c r="C32" s="10"/>
      <c r="D32" s="10"/>
      <c r="E32" s="10"/>
      <c r="F32" s="10"/>
      <c r="G32" s="17"/>
      <c r="H32" s="17"/>
      <c r="I32" s="17"/>
      <c r="J32" s="17"/>
      <c r="K32" s="17"/>
    </row>
    <row r="33" spans="1:11" hidden="1" x14ac:dyDescent="0.25">
      <c r="A33" s="10" t="s">
        <v>94</v>
      </c>
      <c r="B33" s="10"/>
      <c r="C33" s="10"/>
      <c r="D33" s="10"/>
      <c r="E33" s="10"/>
      <c r="F33" s="10"/>
      <c r="G33" s="17"/>
      <c r="H33" s="17"/>
      <c r="I33" s="17"/>
      <c r="J33" s="17"/>
      <c r="K33" s="17"/>
    </row>
    <row r="34" spans="1:11" hidden="1" x14ac:dyDescent="0.25">
      <c r="A34" s="11" t="s">
        <v>95</v>
      </c>
      <c r="B34" s="11"/>
      <c r="C34" s="11"/>
      <c r="D34" s="11"/>
      <c r="E34" s="11"/>
      <c r="F34" s="11"/>
      <c r="G34" s="17"/>
      <c r="H34" s="17"/>
      <c r="I34" s="17"/>
      <c r="J34" s="17"/>
      <c r="K34" s="17"/>
    </row>
    <row r="35" spans="1:11" hidden="1" x14ac:dyDescent="0.25">
      <c r="A35" s="11" t="s">
        <v>96</v>
      </c>
      <c r="B35" s="11"/>
      <c r="C35" s="11"/>
      <c r="D35" s="11"/>
      <c r="E35" s="11"/>
      <c r="F35" s="11"/>
      <c r="G35" s="17"/>
      <c r="H35" s="17"/>
      <c r="I35" s="17"/>
      <c r="J35" s="17"/>
      <c r="K35" s="17"/>
    </row>
    <row r="36" spans="1:11" hidden="1" x14ac:dyDescent="0.25">
      <c r="A36" s="10" t="s">
        <v>65</v>
      </c>
      <c r="B36" s="63"/>
      <c r="C36" s="63"/>
      <c r="D36" s="63"/>
      <c r="E36" s="63"/>
      <c r="F36" s="63"/>
      <c r="G36" s="17"/>
      <c r="H36" s="17"/>
      <c r="I36" s="17"/>
      <c r="J36" s="17"/>
      <c r="K36" s="17"/>
    </row>
    <row r="37" spans="1:11" hidden="1" x14ac:dyDescent="0.25">
      <c r="A37" s="10" t="s">
        <v>97</v>
      </c>
      <c r="B37" s="63"/>
      <c r="C37" s="63"/>
      <c r="D37" s="63"/>
      <c r="E37" s="63"/>
      <c r="F37" s="63"/>
      <c r="G37" s="17"/>
      <c r="H37" s="17"/>
      <c r="I37" s="17"/>
      <c r="J37" s="17"/>
      <c r="K37" s="17"/>
    </row>
    <row r="38" spans="1:11" hidden="1" x14ac:dyDescent="0.25">
      <c r="A38" s="10" t="s">
        <v>67</v>
      </c>
      <c r="B38" s="63"/>
      <c r="C38" s="63"/>
      <c r="D38" s="63"/>
      <c r="E38" s="63"/>
      <c r="F38" s="63"/>
      <c r="G38" s="17"/>
      <c r="H38" s="17"/>
      <c r="I38" s="17"/>
      <c r="J38" s="17"/>
      <c r="K38" s="17"/>
    </row>
    <row r="39" spans="1:11" hidden="1" x14ac:dyDescent="0.25">
      <c r="A39" s="11" t="s">
        <v>98</v>
      </c>
      <c r="B39" s="4"/>
      <c r="C39" s="4"/>
      <c r="D39" s="4"/>
      <c r="E39" s="4"/>
      <c r="F39" s="4"/>
      <c r="G39" s="17"/>
      <c r="H39" s="17"/>
      <c r="I39" s="17"/>
      <c r="J39" s="17"/>
      <c r="K39" s="17"/>
    </row>
    <row r="40" spans="1:11" hidden="1" x14ac:dyDescent="0.25">
      <c r="A40" s="4" t="s">
        <v>99</v>
      </c>
      <c r="B40" s="4"/>
      <c r="C40" s="4"/>
      <c r="D40" s="4"/>
      <c r="E40" s="4"/>
      <c r="F40" s="4"/>
      <c r="G40" s="17"/>
      <c r="H40" s="17"/>
      <c r="I40" s="17"/>
      <c r="J40" s="17"/>
      <c r="K40" s="17"/>
    </row>
    <row r="41" spans="1:11" hidden="1" x14ac:dyDescent="0.25">
      <c r="A41" s="4" t="s">
        <v>100</v>
      </c>
      <c r="B41" s="4"/>
      <c r="C41" s="4"/>
      <c r="D41" s="4"/>
      <c r="E41" s="4"/>
      <c r="F41" s="4"/>
      <c r="G41" s="17"/>
      <c r="H41" s="17"/>
      <c r="I41" s="17"/>
      <c r="J41" s="17"/>
      <c r="K41" s="17"/>
    </row>
    <row r="42" spans="1:11" hidden="1" x14ac:dyDescent="0.25">
      <c r="A42" s="4" t="s">
        <v>101</v>
      </c>
      <c r="B42" s="4"/>
      <c r="C42" s="4"/>
      <c r="D42" s="4"/>
      <c r="E42" s="4"/>
      <c r="F42" s="4"/>
      <c r="G42" s="17"/>
      <c r="H42" s="17"/>
      <c r="I42" s="17"/>
      <c r="J42" s="17"/>
      <c r="K42" s="17"/>
    </row>
    <row r="43" spans="1:11" hidden="1" x14ac:dyDescent="0.25">
      <c r="A43" s="4" t="s">
        <v>102</v>
      </c>
      <c r="B43" s="4"/>
      <c r="C43" s="4"/>
      <c r="D43" s="4"/>
      <c r="E43" s="4"/>
      <c r="F43" s="4"/>
      <c r="G43" s="17"/>
      <c r="H43" s="17"/>
      <c r="I43" s="17"/>
      <c r="J43" s="17"/>
      <c r="K43" s="17"/>
    </row>
    <row r="44" spans="1:11" hidden="1" x14ac:dyDescent="0.25">
      <c r="A44" s="4" t="s">
        <v>103</v>
      </c>
      <c r="B44" s="4"/>
      <c r="C44" s="4"/>
      <c r="D44" s="4"/>
      <c r="E44" s="4"/>
      <c r="F44" s="4"/>
      <c r="G44" s="17"/>
      <c r="H44" s="17"/>
      <c r="I44" s="17"/>
      <c r="J44" s="17"/>
      <c r="K44" s="17"/>
    </row>
    <row r="45" spans="1:11" hidden="1" x14ac:dyDescent="0.25">
      <c r="A45" s="64" t="s">
        <v>104</v>
      </c>
      <c r="B45" s="63"/>
      <c r="C45" s="63"/>
      <c r="D45" s="63"/>
      <c r="E45" s="63"/>
      <c r="F45" s="63"/>
      <c r="G45" s="17"/>
      <c r="H45" s="17"/>
      <c r="I45" s="17"/>
      <c r="J45" s="17"/>
      <c r="K45" s="17"/>
    </row>
    <row r="46" spans="1:11" hidden="1" x14ac:dyDescent="0.25">
      <c r="A46" s="63" t="s">
        <v>105</v>
      </c>
      <c r="B46" s="63"/>
      <c r="C46" s="63"/>
      <c r="D46" s="63"/>
      <c r="E46" s="63"/>
      <c r="F46" s="63"/>
      <c r="G46" s="17"/>
      <c r="H46" s="17"/>
      <c r="I46" s="17"/>
      <c r="J46" s="17"/>
      <c r="K46" s="17"/>
    </row>
    <row r="47" spans="1:11" hidden="1" x14ac:dyDescent="0.25">
      <c r="A47" s="37">
        <v>-20000</v>
      </c>
      <c r="B47" s="4"/>
      <c r="C47" s="4"/>
      <c r="D47" s="4"/>
      <c r="E47" s="4"/>
      <c r="F47" s="4"/>
      <c r="G47" s="17"/>
      <c r="H47" s="17"/>
      <c r="I47" s="17"/>
      <c r="J47" s="17"/>
      <c r="K47" s="17"/>
    </row>
    <row r="48" spans="1:11" ht="25" hidden="1" x14ac:dyDescent="0.25">
      <c r="A48" s="80" t="s">
        <v>106</v>
      </c>
      <c r="B48" s="63"/>
      <c r="C48" s="63"/>
      <c r="D48" s="63"/>
      <c r="E48" s="63"/>
      <c r="F48" s="63"/>
      <c r="G48" s="17"/>
      <c r="H48" s="17"/>
      <c r="I48" s="17"/>
      <c r="J48" s="17"/>
      <c r="K48" s="17"/>
    </row>
    <row r="49" spans="1:11" ht="25" hidden="1" x14ac:dyDescent="0.25">
      <c r="A49" s="80" t="s">
        <v>107</v>
      </c>
      <c r="B49" s="63"/>
      <c r="C49" s="63"/>
      <c r="D49" s="63"/>
      <c r="E49" s="63"/>
      <c r="F49" s="63"/>
      <c r="G49" s="17"/>
      <c r="H49" s="17"/>
      <c r="I49" s="17"/>
      <c r="J49" s="17"/>
      <c r="K49" s="17"/>
    </row>
    <row r="50" spans="1:11" ht="25" hidden="1" x14ac:dyDescent="0.25">
      <c r="A50" s="81" t="s">
        <v>108</v>
      </c>
      <c r="B50" s="4"/>
      <c r="C50" s="4"/>
      <c r="D50" s="4"/>
      <c r="E50" s="4"/>
      <c r="F50" s="4"/>
      <c r="G50" s="17"/>
      <c r="H50" s="17"/>
      <c r="I50" s="17"/>
      <c r="J50" s="17"/>
      <c r="K50" s="17"/>
    </row>
    <row r="51" spans="1:11" ht="25" hidden="1" x14ac:dyDescent="0.25">
      <c r="A51" s="81" t="s">
        <v>109</v>
      </c>
      <c r="B51" s="4"/>
      <c r="C51" s="4"/>
      <c r="D51" s="4"/>
      <c r="E51" s="4"/>
      <c r="F51" s="4"/>
      <c r="G51" s="17"/>
      <c r="H51" s="17"/>
      <c r="I51" s="17"/>
      <c r="J51" s="17"/>
      <c r="K51" s="17"/>
    </row>
    <row r="52" spans="1:11" ht="37.5" hidden="1" x14ac:dyDescent="0.3">
      <c r="A52" s="81" t="s">
        <v>110</v>
      </c>
      <c r="B52" s="73"/>
      <c r="C52" s="73"/>
      <c r="D52" s="73"/>
      <c r="E52" s="11"/>
      <c r="F52" s="11"/>
      <c r="G52" s="17"/>
      <c r="H52" s="17"/>
      <c r="I52" s="17"/>
      <c r="J52" s="17"/>
      <c r="K52" s="17"/>
    </row>
    <row r="53" spans="1:11" ht="13" hidden="1" x14ac:dyDescent="0.3">
      <c r="A53" s="78" t="s">
        <v>111</v>
      </c>
      <c r="B53" s="72"/>
      <c r="C53" s="72"/>
      <c r="D53" s="72"/>
      <c r="E53" s="10"/>
      <c r="F53" s="10" t="b">
        <v>1</v>
      </c>
      <c r="G53" s="17"/>
      <c r="H53" s="17"/>
      <c r="I53" s="17"/>
      <c r="J53" s="17"/>
      <c r="K53" s="17"/>
    </row>
    <row r="54" spans="1:11" ht="13" hidden="1" x14ac:dyDescent="0.3">
      <c r="A54" s="79" t="s">
        <v>112</v>
      </c>
      <c r="B54" s="78"/>
      <c r="C54" s="78"/>
      <c r="D54" s="78"/>
      <c r="E54" s="10"/>
      <c r="F54" s="10" t="b">
        <v>0</v>
      </c>
      <c r="G54" s="17"/>
      <c r="H54" s="17"/>
      <c r="I54" s="17"/>
      <c r="J54" s="17"/>
      <c r="K54" s="17"/>
    </row>
    <row r="55" spans="1:11" ht="13" hidden="1" x14ac:dyDescent="0.25">
      <c r="A55" s="82"/>
      <c r="B55" s="74">
        <f>COUNT(Travel!B12:B34)</f>
        <v>18</v>
      </c>
      <c r="C55" s="74"/>
      <c r="D55" s="74">
        <f>COUNTIF(Travel!D12:D34,"*")</f>
        <v>18</v>
      </c>
      <c r="E55" s="75"/>
      <c r="F55" s="75" t="b">
        <f>MIN(B55,D55)=MAX(B55,D55)</f>
        <v>1</v>
      </c>
      <c r="G55" s="17"/>
      <c r="H55" s="17"/>
      <c r="I55" s="17"/>
      <c r="J55" s="17"/>
      <c r="K55" s="17"/>
    </row>
    <row r="56" spans="1:11" ht="13" hidden="1" x14ac:dyDescent="0.25">
      <c r="A56" s="82" t="s">
        <v>113</v>
      </c>
      <c r="B56" s="74">
        <f>COUNT(Travel!B39:B190)</f>
        <v>103</v>
      </c>
      <c r="C56" s="74"/>
      <c r="D56" s="74">
        <f>COUNTIF(Travel!D39:D190,"*")</f>
        <v>103</v>
      </c>
      <c r="E56" s="75"/>
      <c r="F56" s="75" t="b">
        <f>MIN(B56,D56)=MAX(B56,D56)</f>
        <v>1</v>
      </c>
    </row>
    <row r="57" spans="1:11" ht="13" hidden="1" x14ac:dyDescent="0.3">
      <c r="A57" s="83"/>
      <c r="B57" s="74">
        <f>COUNT(Travel!B195:B220)</f>
        <v>24</v>
      </c>
      <c r="C57" s="74"/>
      <c r="D57" s="74">
        <f>COUNTIF(Travel!D195:D220,"*")</f>
        <v>24</v>
      </c>
      <c r="E57" s="75"/>
      <c r="F57" s="75" t="b">
        <f>MIN(B57,D57)=MAX(B57,D57)</f>
        <v>1</v>
      </c>
    </row>
    <row r="58" spans="1:11" ht="13" hidden="1" x14ac:dyDescent="0.3">
      <c r="A58" s="84" t="s">
        <v>114</v>
      </c>
      <c r="B58" s="76">
        <f>COUNT(Hospitality!B11:B25)</f>
        <v>13</v>
      </c>
      <c r="C58" s="76"/>
      <c r="D58" s="76">
        <f>COUNTIF(Hospitality!D11:D25,"*")</f>
        <v>13</v>
      </c>
      <c r="E58" s="77"/>
      <c r="F58" s="77" t="b">
        <f>MIN(B58,D58)=MAX(B58,D58)</f>
        <v>1</v>
      </c>
    </row>
    <row r="59" spans="1:11" ht="13" hidden="1" x14ac:dyDescent="0.3">
      <c r="A59" s="85" t="s">
        <v>115</v>
      </c>
      <c r="B59" s="75">
        <f>COUNT('All other expenses'!B11:B24)</f>
        <v>1</v>
      </c>
      <c r="C59" s="75"/>
      <c r="D59" s="75">
        <f>COUNTIF('All other expenses'!D11:D24,"*")</f>
        <v>1</v>
      </c>
      <c r="E59" s="75"/>
      <c r="F59" s="75" t="b">
        <f>MIN(B59,D59)=MAX(B59,D59)</f>
        <v>1</v>
      </c>
    </row>
    <row r="60" spans="1:11" ht="13" hidden="1" x14ac:dyDescent="0.3">
      <c r="A60" s="84" t="s">
        <v>116</v>
      </c>
      <c r="B60" s="76">
        <f>COUNTIF('Gifts and benefits'!B11:B37,"*")</f>
        <v>25</v>
      </c>
      <c r="C60" s="76">
        <f>COUNTIF('Gifts and benefits'!C11:C37,"*")</f>
        <v>25</v>
      </c>
      <c r="D60" s="76"/>
      <c r="E60" s="76">
        <f>COUNTA('Gifts and benefits'!E11:E37)</f>
        <v>25</v>
      </c>
      <c r="F60" s="77" t="b">
        <f>MIN(B60,C60,E60)=MAX(B60,C60,E60)</f>
        <v>1</v>
      </c>
    </row>
    <row r="61" spans="1:11" x14ac:dyDescent="0.25"/>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338"/>
  <sheetViews>
    <sheetView zoomScaleNormal="100" workbookViewId="0">
      <selection activeCell="E53" sqref="E53"/>
    </sheetView>
  </sheetViews>
  <sheetFormatPr defaultColWidth="0" defaultRowHeight="12.5" zeroHeight="1" x14ac:dyDescent="0.25"/>
  <cols>
    <col min="1" max="1" width="35.7265625" style="141" customWidth="1"/>
    <col min="2" max="2" width="14.26953125" customWidth="1"/>
    <col min="3" max="3" width="71.453125" customWidth="1"/>
    <col min="4" max="4" width="50" customWidth="1"/>
    <col min="5" max="5" width="21.453125" customWidth="1"/>
    <col min="6" max="6" width="37.54296875" customWidth="1"/>
    <col min="7" max="9" width="9.1796875" hidden="1" customWidth="1"/>
    <col min="10" max="13" width="0" hidden="1" customWidth="1"/>
    <col min="14" max="16384" width="9.1796875" hidden="1"/>
  </cols>
  <sheetData>
    <row r="1" spans="1:6" ht="26.25" customHeight="1" x14ac:dyDescent="0.25">
      <c r="A1" s="159" t="s">
        <v>117</v>
      </c>
      <c r="B1" s="159"/>
      <c r="C1" s="159"/>
      <c r="D1" s="159"/>
      <c r="E1" s="159"/>
      <c r="F1" s="17"/>
    </row>
    <row r="2" spans="1:6" ht="21" customHeight="1" x14ac:dyDescent="0.25">
      <c r="A2" s="129" t="s">
        <v>57</v>
      </c>
      <c r="B2" s="162" t="str">
        <f>'Summary and sign-off'!B2:F2</f>
        <v>Sport NZ Group</v>
      </c>
      <c r="C2" s="162"/>
      <c r="D2" s="162"/>
      <c r="E2" s="162"/>
      <c r="F2" s="17"/>
    </row>
    <row r="3" spans="1:6" ht="21" customHeight="1" x14ac:dyDescent="0.25">
      <c r="A3" s="129" t="s">
        <v>118</v>
      </c>
      <c r="B3" s="162" t="str">
        <f>'Summary and sign-off'!B3:F3</f>
        <v>Raelene Castle</v>
      </c>
      <c r="C3" s="162"/>
      <c r="D3" s="162"/>
      <c r="E3" s="162"/>
      <c r="F3" s="17"/>
    </row>
    <row r="4" spans="1:6" ht="21" customHeight="1" x14ac:dyDescent="0.25">
      <c r="A4" s="129" t="s">
        <v>119</v>
      </c>
      <c r="B4" s="162">
        <f>'Summary and sign-off'!B4:F4</f>
        <v>44743</v>
      </c>
      <c r="C4" s="162"/>
      <c r="D4" s="162"/>
      <c r="E4" s="162"/>
      <c r="F4" s="17"/>
    </row>
    <row r="5" spans="1:6" ht="21" customHeight="1" x14ac:dyDescent="0.25">
      <c r="A5" s="129" t="s">
        <v>120</v>
      </c>
      <c r="B5" s="162">
        <f>'Summary and sign-off'!B5:F5</f>
        <v>45107</v>
      </c>
      <c r="C5" s="162"/>
      <c r="D5" s="162"/>
      <c r="E5" s="162"/>
      <c r="F5" s="17"/>
    </row>
    <row r="6" spans="1:6" ht="21" customHeight="1" x14ac:dyDescent="0.25">
      <c r="A6" s="129" t="s">
        <v>121</v>
      </c>
      <c r="B6" s="157" t="s">
        <v>89</v>
      </c>
      <c r="C6" s="157"/>
      <c r="D6" s="157"/>
      <c r="E6" s="157"/>
      <c r="F6" s="17"/>
    </row>
    <row r="7" spans="1:6" ht="21" customHeight="1" x14ac:dyDescent="0.25">
      <c r="A7" s="129" t="s">
        <v>63</v>
      </c>
      <c r="B7" s="157" t="s">
        <v>91</v>
      </c>
      <c r="C7" s="157"/>
      <c r="D7" s="157"/>
      <c r="E7" s="157"/>
      <c r="F7" s="17"/>
    </row>
    <row r="8" spans="1:6" ht="36" customHeight="1" x14ac:dyDescent="0.3">
      <c r="A8" s="165" t="s">
        <v>122</v>
      </c>
      <c r="B8" s="166"/>
      <c r="C8" s="166"/>
      <c r="D8" s="166"/>
      <c r="E8" s="166"/>
      <c r="F8" s="19"/>
    </row>
    <row r="9" spans="1:6" ht="36" customHeight="1" x14ac:dyDescent="0.3">
      <c r="A9" s="167" t="s">
        <v>123</v>
      </c>
      <c r="B9" s="168"/>
      <c r="C9" s="168"/>
      <c r="D9" s="168"/>
      <c r="E9" s="168"/>
      <c r="F9" s="19"/>
    </row>
    <row r="10" spans="1:6" ht="24.75" customHeight="1" x14ac:dyDescent="0.35">
      <c r="A10" s="164" t="s">
        <v>124</v>
      </c>
      <c r="B10" s="169"/>
      <c r="C10" s="164"/>
      <c r="D10" s="164"/>
      <c r="E10" s="164"/>
      <c r="F10" s="29"/>
    </row>
    <row r="11" spans="1:6" ht="27" customHeight="1" x14ac:dyDescent="0.25">
      <c r="A11" s="110" t="s">
        <v>125</v>
      </c>
      <c r="B11" s="24" t="s">
        <v>126</v>
      </c>
      <c r="C11" s="24" t="s">
        <v>127</v>
      </c>
      <c r="D11" s="24" t="s">
        <v>128</v>
      </c>
      <c r="E11" s="24" t="s">
        <v>129</v>
      </c>
      <c r="F11" s="30"/>
    </row>
    <row r="12" spans="1:6" s="2" customFormat="1" hidden="1" x14ac:dyDescent="0.25">
      <c r="A12" s="130"/>
      <c r="B12" s="95"/>
      <c r="C12" s="96"/>
      <c r="D12" s="96"/>
      <c r="E12" s="97"/>
      <c r="F12" s="1"/>
    </row>
    <row r="13" spans="1:6" s="2" customFormat="1" x14ac:dyDescent="0.25">
      <c r="A13" s="131" t="s">
        <v>130</v>
      </c>
      <c r="B13" s="117">
        <v>0</v>
      </c>
      <c r="C13" s="118" t="s">
        <v>474</v>
      </c>
      <c r="D13" s="118" t="s">
        <v>131</v>
      </c>
      <c r="E13" s="119" t="s">
        <v>132</v>
      </c>
      <c r="F13" s="146"/>
    </row>
    <row r="14" spans="1:6" s="2" customFormat="1" x14ac:dyDescent="0.25">
      <c r="A14" s="131" t="s">
        <v>130</v>
      </c>
      <c r="B14" s="117">
        <f>15.74+29.11+49.05+16.56+15.36+18.81+17.13+29.02</f>
        <v>190.78</v>
      </c>
      <c r="C14" s="118" t="s">
        <v>133</v>
      </c>
      <c r="D14" s="118" t="s">
        <v>134</v>
      </c>
      <c r="E14" s="119" t="s">
        <v>132</v>
      </c>
      <c r="F14" s="1"/>
    </row>
    <row r="15" spans="1:6" s="2" customFormat="1" x14ac:dyDescent="0.25">
      <c r="A15" s="131" t="s">
        <v>130</v>
      </c>
      <c r="B15" s="117">
        <v>0</v>
      </c>
      <c r="C15" s="118" t="s">
        <v>473</v>
      </c>
      <c r="D15" s="118" t="s">
        <v>135</v>
      </c>
      <c r="E15" s="119" t="s">
        <v>132</v>
      </c>
      <c r="F15" s="1"/>
    </row>
    <row r="16" spans="1:6" s="2" customFormat="1" ht="13" customHeight="1" x14ac:dyDescent="0.25">
      <c r="A16" s="131"/>
      <c r="B16" s="117"/>
      <c r="C16" s="118"/>
      <c r="D16" s="118"/>
      <c r="E16" s="119"/>
      <c r="F16" s="1"/>
    </row>
    <row r="17" spans="1:6" s="128" customFormat="1" ht="17.25" customHeight="1" x14ac:dyDescent="0.25">
      <c r="A17" s="131" t="s">
        <v>453</v>
      </c>
      <c r="B17" s="117">
        <v>147.61000000000001</v>
      </c>
      <c r="C17" s="118" t="s">
        <v>137</v>
      </c>
      <c r="D17" s="118" t="s">
        <v>456</v>
      </c>
      <c r="E17" s="119" t="s">
        <v>454</v>
      </c>
      <c r="F17" s="155"/>
    </row>
    <row r="18" spans="1:6" s="128" customFormat="1" ht="25" x14ac:dyDescent="0.25">
      <c r="A18" s="131" t="s">
        <v>453</v>
      </c>
      <c r="B18" s="117">
        <v>1069.04</v>
      </c>
      <c r="C18" s="118" t="s">
        <v>137</v>
      </c>
      <c r="D18" s="118" t="s">
        <v>481</v>
      </c>
      <c r="E18" s="119" t="s">
        <v>202</v>
      </c>
      <c r="F18" s="147"/>
    </row>
    <row r="19" spans="1:6" s="128" customFormat="1" ht="25" x14ac:dyDescent="0.25">
      <c r="A19" s="131" t="s">
        <v>453</v>
      </c>
      <c r="B19" s="117">
        <v>65</v>
      </c>
      <c r="C19" s="118" t="s">
        <v>137</v>
      </c>
      <c r="D19" s="118" t="s">
        <v>135</v>
      </c>
      <c r="E19" s="119" t="s">
        <v>6</v>
      </c>
      <c r="F19" s="147"/>
    </row>
    <row r="20" spans="1:6" s="128" customFormat="1" ht="25" x14ac:dyDescent="0.25">
      <c r="A20" s="131" t="s">
        <v>453</v>
      </c>
      <c r="B20" s="117">
        <v>14.17</v>
      </c>
      <c r="C20" s="118" t="s">
        <v>480</v>
      </c>
      <c r="D20" s="118" t="s">
        <v>452</v>
      </c>
      <c r="E20" s="119" t="s">
        <v>455</v>
      </c>
      <c r="F20" s="147"/>
    </row>
    <row r="21" spans="1:6" s="2" customFormat="1" ht="25" x14ac:dyDescent="0.25">
      <c r="A21" s="131" t="s">
        <v>136</v>
      </c>
      <c r="B21" s="117">
        <f>(675+14986)</f>
        <v>15661</v>
      </c>
      <c r="C21" s="118" t="s">
        <v>137</v>
      </c>
      <c r="D21" s="118" t="s">
        <v>138</v>
      </c>
      <c r="E21" s="119" t="s">
        <v>139</v>
      </c>
      <c r="F21" s="145"/>
    </row>
    <row r="22" spans="1:6" s="2" customFormat="1" ht="25" x14ac:dyDescent="0.25">
      <c r="A22" s="131" t="s">
        <v>136</v>
      </c>
      <c r="B22" s="117">
        <f>(13300+475)</f>
        <v>13775</v>
      </c>
      <c r="C22" s="118" t="s">
        <v>137</v>
      </c>
      <c r="D22" s="118" t="s">
        <v>475</v>
      </c>
      <c r="E22" s="119" t="s">
        <v>143</v>
      </c>
      <c r="F22" s="145"/>
    </row>
    <row r="23" spans="1:6" s="2" customFormat="1" ht="25" x14ac:dyDescent="0.25">
      <c r="A23" s="131" t="s">
        <v>136</v>
      </c>
      <c r="B23" s="117">
        <v>177.03</v>
      </c>
      <c r="C23" s="118" t="s">
        <v>137</v>
      </c>
      <c r="D23" s="118" t="s">
        <v>479</v>
      </c>
      <c r="E23" s="119" t="s">
        <v>140</v>
      </c>
      <c r="F23" s="145"/>
    </row>
    <row r="24" spans="1:6" s="2" customFormat="1" ht="25" x14ac:dyDescent="0.25">
      <c r="A24" s="131" t="s">
        <v>136</v>
      </c>
      <c r="B24" s="117">
        <f>37.05+179.08+10</f>
        <v>226.13</v>
      </c>
      <c r="C24" s="118" t="s">
        <v>137</v>
      </c>
      <c r="D24" s="118" t="s">
        <v>141</v>
      </c>
      <c r="E24" s="119" t="s">
        <v>143</v>
      </c>
    </row>
    <row r="25" spans="1:6" s="2" customFormat="1" ht="25" x14ac:dyDescent="0.25">
      <c r="A25" s="131" t="s">
        <v>136</v>
      </c>
      <c r="B25" s="117">
        <v>44.96</v>
      </c>
      <c r="C25" s="118" t="s">
        <v>137</v>
      </c>
      <c r="D25" s="118" t="s">
        <v>464</v>
      </c>
      <c r="E25" s="119" t="s">
        <v>143</v>
      </c>
      <c r="F25" s="146"/>
    </row>
    <row r="26" spans="1:6" s="2" customFormat="1" ht="25" x14ac:dyDescent="0.25">
      <c r="A26" s="131" t="s">
        <v>136</v>
      </c>
      <c r="B26" s="117">
        <v>144.04</v>
      </c>
      <c r="C26" s="118" t="s">
        <v>137</v>
      </c>
      <c r="D26" s="118" t="s">
        <v>142</v>
      </c>
      <c r="E26" s="119" t="s">
        <v>143</v>
      </c>
      <c r="F26" s="145"/>
    </row>
    <row r="27" spans="1:6" s="2" customFormat="1" ht="25" x14ac:dyDescent="0.25">
      <c r="A27" s="131" t="s">
        <v>136</v>
      </c>
      <c r="B27" s="117">
        <f>13.88+16.97+11.2+10.65+11.51+16.27+15.55+11.57+12.07+11.57+20.69+17.36+15.85+12.96+10.73+103.48</f>
        <v>312.30999999999995</v>
      </c>
      <c r="C27" s="118" t="s">
        <v>137</v>
      </c>
      <c r="D27" s="118" t="s">
        <v>144</v>
      </c>
      <c r="E27" s="119" t="s">
        <v>6</v>
      </c>
      <c r="F27" s="145"/>
    </row>
    <row r="28" spans="1:6" s="2" customFormat="1" ht="20.25" customHeight="1" x14ac:dyDescent="0.25">
      <c r="A28" s="131"/>
      <c r="B28" s="117"/>
      <c r="C28" s="118"/>
      <c r="D28" s="118"/>
      <c r="E28" s="119"/>
      <c r="F28" s="1"/>
    </row>
    <row r="29" spans="1:6" s="2" customFormat="1" ht="25" x14ac:dyDescent="0.25">
      <c r="A29" s="131" t="s">
        <v>145</v>
      </c>
      <c r="B29" s="117">
        <f>1912.09+11+43.48</f>
        <v>1966.57</v>
      </c>
      <c r="C29" s="118" t="s">
        <v>146</v>
      </c>
      <c r="D29" s="118" t="s">
        <v>138</v>
      </c>
      <c r="E29" s="119" t="s">
        <v>147</v>
      </c>
      <c r="F29" s="1"/>
    </row>
    <row r="30" spans="1:6" s="2" customFormat="1" ht="25" x14ac:dyDescent="0.25">
      <c r="A30" s="131" t="s">
        <v>145</v>
      </c>
      <c r="B30" s="117">
        <v>0</v>
      </c>
      <c r="C30" s="118" t="s">
        <v>146</v>
      </c>
      <c r="D30" s="118" t="s">
        <v>148</v>
      </c>
      <c r="E30" s="119" t="s">
        <v>147</v>
      </c>
      <c r="F30" s="1"/>
    </row>
    <row r="31" spans="1:6" s="2" customFormat="1" ht="25" x14ac:dyDescent="0.25">
      <c r="A31" s="131" t="s">
        <v>145</v>
      </c>
      <c r="B31" s="117">
        <f>50.83+36.02+84.9</f>
        <v>171.75</v>
      </c>
      <c r="C31" s="118" t="s">
        <v>146</v>
      </c>
      <c r="D31" s="118" t="s">
        <v>149</v>
      </c>
      <c r="E31" s="119" t="s">
        <v>147</v>
      </c>
      <c r="F31" s="1"/>
    </row>
    <row r="32" spans="1:6" s="2" customFormat="1" ht="25" x14ac:dyDescent="0.25">
      <c r="A32" s="131" t="s">
        <v>145</v>
      </c>
      <c r="B32" s="117">
        <v>179.16</v>
      </c>
      <c r="C32" s="118" t="s">
        <v>146</v>
      </c>
      <c r="D32" s="118" t="s">
        <v>150</v>
      </c>
      <c r="E32" s="119" t="s">
        <v>147</v>
      </c>
      <c r="F32" s="1"/>
    </row>
    <row r="33" spans="1:6" s="2" customFormat="1" x14ac:dyDescent="0.25">
      <c r="A33" s="132"/>
      <c r="B33" s="117"/>
      <c r="C33" s="118"/>
      <c r="D33" s="118"/>
      <c r="E33" s="119"/>
      <c r="F33" s="1"/>
    </row>
    <row r="34" spans="1:6" s="2" customFormat="1" hidden="1" x14ac:dyDescent="0.25">
      <c r="A34" s="133"/>
      <c r="B34" s="104"/>
      <c r="C34" s="105"/>
      <c r="D34" s="105"/>
      <c r="E34" s="106"/>
      <c r="F34" s="1"/>
    </row>
    <row r="35" spans="1:6" ht="19.5" customHeight="1" x14ac:dyDescent="0.25">
      <c r="A35" s="134" t="s">
        <v>151</v>
      </c>
      <c r="B35" s="71">
        <f>SUM(B12:B34)</f>
        <v>34144.550000000003</v>
      </c>
      <c r="C35" s="127" t="str">
        <f>IF(SUBTOTAL(3,B12:B34)=SUBTOTAL(103,B12:B34),'Summary and sign-off'!$A$48,'Summary and sign-off'!$A$49)</f>
        <v>Check - there are no hidden rows with data</v>
      </c>
      <c r="D35" s="163" t="str">
        <f>IF('Summary and sign-off'!F55='Summary and sign-off'!F54,'Summary and sign-off'!A51,'Summary and sign-off'!A50)</f>
        <v>Check - each entry provides sufficient information</v>
      </c>
      <c r="E35" s="163"/>
      <c r="F35" s="17"/>
    </row>
    <row r="36" spans="1:6" ht="10.5" customHeight="1" x14ac:dyDescent="0.3">
      <c r="A36" s="135"/>
      <c r="B36" s="19"/>
      <c r="C36" s="17"/>
      <c r="D36" s="17"/>
      <c r="E36" s="17"/>
      <c r="F36" s="17"/>
    </row>
    <row r="37" spans="1:6" ht="24.75" customHeight="1" x14ac:dyDescent="0.35">
      <c r="A37" s="164" t="s">
        <v>152</v>
      </c>
      <c r="B37" s="164"/>
      <c r="C37" s="164"/>
      <c r="D37" s="164"/>
      <c r="E37" s="164"/>
      <c r="F37" s="29"/>
    </row>
    <row r="38" spans="1:6" ht="27" customHeight="1" x14ac:dyDescent="0.25">
      <c r="A38" s="110" t="s">
        <v>125</v>
      </c>
      <c r="B38" s="24" t="s">
        <v>70</v>
      </c>
      <c r="C38" s="24" t="s">
        <v>153</v>
      </c>
      <c r="D38" s="24" t="s">
        <v>128</v>
      </c>
      <c r="E38" s="24" t="s">
        <v>129</v>
      </c>
      <c r="F38" s="30"/>
    </row>
    <row r="39" spans="1:6" s="2" customFormat="1" ht="13" hidden="1" x14ac:dyDescent="0.25">
      <c r="A39" s="130"/>
      <c r="B39" s="95"/>
      <c r="C39" s="96"/>
      <c r="D39" s="96"/>
      <c r="E39" s="97"/>
      <c r="F39" s="147"/>
    </row>
    <row r="40" spans="1:6" s="2" customFormat="1" ht="13" x14ac:dyDescent="0.25">
      <c r="A40" s="131" t="s">
        <v>457</v>
      </c>
      <c r="B40" s="117">
        <v>379.55</v>
      </c>
      <c r="C40" s="118" t="s">
        <v>154</v>
      </c>
      <c r="D40" s="118" t="s">
        <v>138</v>
      </c>
      <c r="E40" s="119" t="s">
        <v>2</v>
      </c>
      <c r="F40" s="151"/>
    </row>
    <row r="41" spans="1:6" s="2" customFormat="1" ht="13" x14ac:dyDescent="0.25">
      <c r="A41" s="131" t="s">
        <v>457</v>
      </c>
      <c r="B41" s="117">
        <f>(52.22-5.22)+44.26+32.52+55.32+8.64</f>
        <v>187.74</v>
      </c>
      <c r="C41" s="118" t="s">
        <v>154</v>
      </c>
      <c r="D41" s="118" t="s">
        <v>155</v>
      </c>
      <c r="E41" s="119" t="s">
        <v>2</v>
      </c>
      <c r="F41" s="147"/>
    </row>
    <row r="42" spans="1:6" s="2" customFormat="1" ht="13" x14ac:dyDescent="0.25">
      <c r="A42" s="131"/>
      <c r="B42" s="117"/>
      <c r="C42" s="118"/>
      <c r="D42" s="118"/>
      <c r="E42" s="119"/>
      <c r="F42" s="147"/>
    </row>
    <row r="43" spans="1:6" s="2" customFormat="1" ht="13" x14ac:dyDescent="0.25">
      <c r="A43" s="131">
        <v>44790</v>
      </c>
      <c r="B43" s="117">
        <v>220</v>
      </c>
      <c r="C43" s="118" t="s">
        <v>156</v>
      </c>
      <c r="D43" s="118" t="s">
        <v>157</v>
      </c>
      <c r="E43" s="119" t="s">
        <v>158</v>
      </c>
      <c r="F43" s="147"/>
    </row>
    <row r="44" spans="1:6" s="2" customFormat="1" x14ac:dyDescent="0.25">
      <c r="A44" s="131"/>
      <c r="B44" s="117"/>
      <c r="C44" s="118"/>
      <c r="D44" s="118"/>
      <c r="E44" s="119"/>
      <c r="F44" s="1"/>
    </row>
    <row r="45" spans="1:6" s="2" customFormat="1" x14ac:dyDescent="0.25">
      <c r="A45" s="131">
        <v>44795</v>
      </c>
      <c r="B45" s="117">
        <v>235.33</v>
      </c>
      <c r="C45" s="118" t="s">
        <v>159</v>
      </c>
      <c r="D45" s="118" t="s">
        <v>138</v>
      </c>
      <c r="E45" s="119" t="s">
        <v>2</v>
      </c>
      <c r="F45" s="146"/>
    </row>
    <row r="46" spans="1:6" s="2" customFormat="1" x14ac:dyDescent="0.25">
      <c r="A46" s="131">
        <v>44795</v>
      </c>
      <c r="B46" s="117">
        <f>(57.45-5.75)+43.39</f>
        <v>95.09</v>
      </c>
      <c r="C46" s="118" t="s">
        <v>159</v>
      </c>
      <c r="D46" s="118" t="s">
        <v>160</v>
      </c>
      <c r="E46" s="119" t="s">
        <v>2</v>
      </c>
      <c r="F46" s="1"/>
    </row>
    <row r="47" spans="1:6" s="2" customFormat="1" x14ac:dyDescent="0.25">
      <c r="A47" s="131"/>
      <c r="B47" s="117"/>
      <c r="C47" s="118"/>
      <c r="D47" s="118"/>
      <c r="E47" s="119"/>
      <c r="F47" s="1"/>
    </row>
    <row r="48" spans="1:6" s="2" customFormat="1" ht="17.25" customHeight="1" x14ac:dyDescent="0.25">
      <c r="A48" s="131" t="s">
        <v>161</v>
      </c>
      <c r="B48" s="117">
        <f>265.74-174.69+20+290.99+657.94+10+10+10+10+10</f>
        <v>1109.98</v>
      </c>
      <c r="C48" s="118" t="s">
        <v>162</v>
      </c>
      <c r="D48" s="118" t="s">
        <v>163</v>
      </c>
      <c r="E48" s="119" t="s">
        <v>164</v>
      </c>
      <c r="F48" s="1"/>
    </row>
    <row r="49" spans="1:6" s="2" customFormat="1" ht="17.25" customHeight="1" x14ac:dyDescent="0.25">
      <c r="A49" s="131">
        <v>44796</v>
      </c>
      <c r="B49" s="117">
        <v>86.29</v>
      </c>
      <c r="C49" s="118" t="s">
        <v>162</v>
      </c>
      <c r="D49" s="118" t="s">
        <v>439</v>
      </c>
      <c r="E49" s="119" t="s">
        <v>223</v>
      </c>
      <c r="F49" s="146"/>
    </row>
    <row r="50" spans="1:6" s="144" customFormat="1" ht="17.25" customHeight="1" x14ac:dyDescent="0.25">
      <c r="A50" s="131" t="s">
        <v>161</v>
      </c>
      <c r="B50" s="117">
        <v>465.96</v>
      </c>
      <c r="C50" s="118" t="s">
        <v>162</v>
      </c>
      <c r="D50" s="118" t="s">
        <v>165</v>
      </c>
      <c r="E50" s="119" t="s">
        <v>166</v>
      </c>
      <c r="F50" s="145"/>
    </row>
    <row r="51" spans="1:6" s="2" customFormat="1" ht="15" customHeight="1" x14ac:dyDescent="0.25">
      <c r="A51" s="131" t="s">
        <v>161</v>
      </c>
      <c r="B51" s="117">
        <f>31.56+49.92+22.16+36.52+19.13+12.18</f>
        <v>171.47</v>
      </c>
      <c r="C51" s="118" t="s">
        <v>162</v>
      </c>
      <c r="D51" s="118" t="s">
        <v>167</v>
      </c>
      <c r="E51" s="119" t="s">
        <v>168</v>
      </c>
      <c r="F51" s="1"/>
    </row>
    <row r="52" spans="1:6" s="2" customFormat="1" ht="15" customHeight="1" x14ac:dyDescent="0.25">
      <c r="A52" s="131" t="s">
        <v>161</v>
      </c>
      <c r="B52" s="117">
        <f>234.78+200+5+273.91+5</f>
        <v>718.69</v>
      </c>
      <c r="C52" s="118" t="s">
        <v>162</v>
      </c>
      <c r="D52" s="118" t="s">
        <v>169</v>
      </c>
      <c r="E52" s="119" t="s">
        <v>170</v>
      </c>
      <c r="F52" s="145"/>
    </row>
    <row r="53" spans="1:6" s="2" customFormat="1" ht="15" customHeight="1" x14ac:dyDescent="0.25">
      <c r="A53" s="131" t="s">
        <v>161</v>
      </c>
      <c r="B53" s="117">
        <v>20</v>
      </c>
      <c r="C53" s="118" t="s">
        <v>162</v>
      </c>
      <c r="D53" s="118" t="s">
        <v>150</v>
      </c>
      <c r="E53" s="119" t="s">
        <v>223</v>
      </c>
      <c r="F53" s="145"/>
    </row>
    <row r="54" spans="1:6" s="2" customFormat="1" x14ac:dyDescent="0.25">
      <c r="A54" s="131"/>
      <c r="B54" s="117"/>
      <c r="C54" s="118"/>
      <c r="D54" s="118"/>
      <c r="E54" s="119"/>
      <c r="F54" s="145"/>
    </row>
    <row r="55" spans="1:6" s="2" customFormat="1" x14ac:dyDescent="0.25">
      <c r="A55" s="131">
        <v>44804</v>
      </c>
      <c r="B55" s="117">
        <f>138.34+20</f>
        <v>158.34</v>
      </c>
      <c r="C55" s="118" t="s">
        <v>171</v>
      </c>
      <c r="D55" s="118" t="s">
        <v>172</v>
      </c>
      <c r="E55" s="119" t="s">
        <v>6</v>
      </c>
      <c r="F55" s="145"/>
    </row>
    <row r="56" spans="1:6" s="2" customFormat="1" x14ac:dyDescent="0.25">
      <c r="A56" s="131">
        <v>44804</v>
      </c>
      <c r="B56" s="117">
        <f>13.48+48.35+8.17+9.48</f>
        <v>79.48</v>
      </c>
      <c r="C56" s="118" t="s">
        <v>171</v>
      </c>
      <c r="D56" s="118" t="s">
        <v>173</v>
      </c>
      <c r="E56" s="119" t="s">
        <v>6</v>
      </c>
      <c r="F56" s="145"/>
    </row>
    <row r="57" spans="1:6" s="2" customFormat="1" x14ac:dyDescent="0.25">
      <c r="A57" s="131"/>
      <c r="B57" s="117"/>
      <c r="C57" s="118"/>
      <c r="D57" s="118"/>
      <c r="E57" s="119"/>
      <c r="F57" s="145"/>
    </row>
    <row r="58" spans="1:6" s="2" customFormat="1" ht="25" x14ac:dyDescent="0.25">
      <c r="A58" s="131" t="s">
        <v>174</v>
      </c>
      <c r="B58" s="117">
        <v>411.87</v>
      </c>
      <c r="C58" s="118" t="s">
        <v>175</v>
      </c>
      <c r="D58" s="118" t="s">
        <v>138</v>
      </c>
      <c r="E58" s="119" t="s">
        <v>176</v>
      </c>
      <c r="F58" s="145"/>
    </row>
    <row r="59" spans="1:6" s="2" customFormat="1" ht="25" x14ac:dyDescent="0.25">
      <c r="A59" s="131" t="s">
        <v>174</v>
      </c>
      <c r="B59" s="117">
        <v>184.59</v>
      </c>
      <c r="C59" s="118" t="s">
        <v>175</v>
      </c>
      <c r="D59" s="118" t="s">
        <v>135</v>
      </c>
      <c r="E59" s="119" t="s">
        <v>177</v>
      </c>
      <c r="F59" s="150"/>
    </row>
    <row r="60" spans="1:6" s="2" customFormat="1" ht="25" x14ac:dyDescent="0.25">
      <c r="A60" s="131" t="s">
        <v>174</v>
      </c>
      <c r="B60" s="117">
        <v>92.8</v>
      </c>
      <c r="C60" s="118" t="s">
        <v>175</v>
      </c>
      <c r="D60" s="118" t="s">
        <v>178</v>
      </c>
      <c r="E60" s="119" t="s">
        <v>179</v>
      </c>
      <c r="F60" s="145"/>
    </row>
    <row r="61" spans="1:6" s="2" customFormat="1" ht="25" x14ac:dyDescent="0.25">
      <c r="A61" s="131" t="s">
        <v>174</v>
      </c>
      <c r="B61" s="117">
        <f>60.69+11.36+48.95</f>
        <v>121</v>
      </c>
      <c r="C61" s="118" t="s">
        <v>175</v>
      </c>
      <c r="D61" s="118" t="s">
        <v>180</v>
      </c>
      <c r="E61" s="119" t="s">
        <v>486</v>
      </c>
      <c r="F61" s="145"/>
    </row>
    <row r="62" spans="1:6" s="2" customFormat="1" x14ac:dyDescent="0.25">
      <c r="A62" s="131"/>
      <c r="B62" s="117"/>
      <c r="C62" s="118"/>
      <c r="D62" s="118"/>
      <c r="E62" s="119"/>
      <c r="F62" s="145"/>
    </row>
    <row r="63" spans="1:6" s="2" customFormat="1" x14ac:dyDescent="0.25">
      <c r="A63" s="131">
        <v>44810</v>
      </c>
      <c r="B63" s="117">
        <f>+(175.45+22.76+20)</f>
        <v>218.20999999999998</v>
      </c>
      <c r="C63" s="118" t="s">
        <v>181</v>
      </c>
      <c r="D63" s="118" t="s">
        <v>182</v>
      </c>
      <c r="E63" s="119" t="s">
        <v>2</v>
      </c>
      <c r="F63" s="145"/>
    </row>
    <row r="64" spans="1:6" s="2" customFormat="1" x14ac:dyDescent="0.25">
      <c r="A64" s="131">
        <v>44810</v>
      </c>
      <c r="B64" s="117">
        <f>27.34</f>
        <v>27.34</v>
      </c>
      <c r="C64" s="118" t="s">
        <v>181</v>
      </c>
      <c r="D64" s="118" t="s">
        <v>183</v>
      </c>
      <c r="E64" s="119" t="s">
        <v>2</v>
      </c>
      <c r="F64" s="145"/>
    </row>
    <row r="65" spans="1:6" s="2" customFormat="1" x14ac:dyDescent="0.25">
      <c r="A65" s="131"/>
      <c r="B65" s="117"/>
      <c r="C65" s="118"/>
      <c r="D65" s="118"/>
      <c r="E65" s="119"/>
      <c r="F65" s="145"/>
    </row>
    <row r="66" spans="1:6" s="2" customFormat="1" x14ac:dyDescent="0.25">
      <c r="A66" s="131" t="s">
        <v>458</v>
      </c>
      <c r="B66" s="117">
        <f>269.57+26.09+20</f>
        <v>315.65999999999997</v>
      </c>
      <c r="C66" s="118" t="s">
        <v>184</v>
      </c>
      <c r="D66" s="118" t="s">
        <v>476</v>
      </c>
      <c r="E66" s="119" t="s">
        <v>477</v>
      </c>
      <c r="F66" s="145"/>
    </row>
    <row r="67" spans="1:6" s="2" customFormat="1" x14ac:dyDescent="0.25">
      <c r="A67" s="131" t="s">
        <v>458</v>
      </c>
      <c r="B67" s="117">
        <v>375.65</v>
      </c>
      <c r="C67" s="118" t="s">
        <v>184</v>
      </c>
      <c r="D67" s="118" t="s">
        <v>185</v>
      </c>
      <c r="E67" s="119" t="s">
        <v>186</v>
      </c>
      <c r="F67" s="145"/>
    </row>
    <row r="68" spans="1:6" s="2" customFormat="1" x14ac:dyDescent="0.25">
      <c r="A68" s="131" t="s">
        <v>187</v>
      </c>
      <c r="B68" s="117">
        <f>50.01+47.95</f>
        <v>97.960000000000008</v>
      </c>
      <c r="C68" s="118" t="s">
        <v>188</v>
      </c>
      <c r="D68" s="118" t="s">
        <v>189</v>
      </c>
      <c r="E68" s="119"/>
      <c r="F68" s="145"/>
    </row>
    <row r="69" spans="1:6" s="2" customFormat="1" x14ac:dyDescent="0.25">
      <c r="A69" s="131"/>
      <c r="B69" s="117"/>
      <c r="C69" s="118"/>
      <c r="D69" s="118"/>
      <c r="E69" s="119"/>
      <c r="F69" s="145"/>
    </row>
    <row r="70" spans="1:6" s="2" customFormat="1" x14ac:dyDescent="0.25">
      <c r="A70" s="131" t="s">
        <v>190</v>
      </c>
      <c r="B70" s="117">
        <f>204.96+328.12+20</f>
        <v>553.08000000000004</v>
      </c>
      <c r="C70" s="118" t="s">
        <v>191</v>
      </c>
      <c r="D70" s="118" t="s">
        <v>138</v>
      </c>
      <c r="E70" s="119" t="s">
        <v>192</v>
      </c>
      <c r="F70" s="145"/>
    </row>
    <row r="71" spans="1:6" s="2" customFormat="1" x14ac:dyDescent="0.25">
      <c r="A71" s="131" t="s">
        <v>190</v>
      </c>
      <c r="B71" s="117">
        <f>49.3+49.43-5.69+36.82+30.37+51.49</f>
        <v>211.72</v>
      </c>
      <c r="C71" s="118" t="s">
        <v>191</v>
      </c>
      <c r="D71" s="118" t="s">
        <v>193</v>
      </c>
      <c r="E71" s="119" t="s">
        <v>194</v>
      </c>
      <c r="F71" s="145"/>
    </row>
    <row r="72" spans="1:6" s="2" customFormat="1" x14ac:dyDescent="0.25">
      <c r="A72" s="131"/>
      <c r="B72" s="117"/>
      <c r="C72" s="118"/>
      <c r="D72" s="128"/>
      <c r="E72" s="119"/>
      <c r="F72" s="145"/>
    </row>
    <row r="73" spans="1:6" s="2" customFormat="1" x14ac:dyDescent="0.25">
      <c r="A73" s="131" t="s">
        <v>459</v>
      </c>
      <c r="B73" s="117">
        <f>359.32+11</f>
        <v>370.32</v>
      </c>
      <c r="C73" s="118" t="s">
        <v>195</v>
      </c>
      <c r="D73" s="118" t="s">
        <v>196</v>
      </c>
      <c r="E73" s="119" t="s">
        <v>197</v>
      </c>
      <c r="F73" s="145"/>
    </row>
    <row r="74" spans="1:6" s="2" customFormat="1" x14ac:dyDescent="0.25">
      <c r="A74" s="131" t="s">
        <v>198</v>
      </c>
      <c r="B74" s="117">
        <f>49.98+39.92+27.06+49.22</f>
        <v>166.18</v>
      </c>
      <c r="C74" s="118" t="s">
        <v>195</v>
      </c>
      <c r="D74" s="118" t="s">
        <v>5</v>
      </c>
      <c r="E74" s="119" t="s">
        <v>2</v>
      </c>
      <c r="F74" s="145"/>
    </row>
    <row r="75" spans="1:6" s="2" customFormat="1" x14ac:dyDescent="0.25">
      <c r="A75" s="131"/>
      <c r="B75" s="117"/>
      <c r="C75" s="118"/>
      <c r="D75" s="118"/>
      <c r="E75" s="119"/>
      <c r="F75" s="145"/>
    </row>
    <row r="76" spans="1:6" s="2" customFormat="1" x14ac:dyDescent="0.25">
      <c r="A76" s="131" t="s">
        <v>199</v>
      </c>
      <c r="B76" s="117">
        <f>243.76-189.78</f>
        <v>53.97999999999999</v>
      </c>
      <c r="C76" s="118" t="s">
        <v>200</v>
      </c>
      <c r="D76" s="118" t="s">
        <v>201</v>
      </c>
      <c r="E76" s="119" t="s">
        <v>202</v>
      </c>
      <c r="F76" s="145"/>
    </row>
    <row r="77" spans="1:6" s="2" customFormat="1" x14ac:dyDescent="0.25">
      <c r="A77" s="131" t="s">
        <v>199</v>
      </c>
      <c r="B77" s="117">
        <f>48.93+85.65+56.88</f>
        <v>191.46</v>
      </c>
      <c r="C77" s="118" t="s">
        <v>200</v>
      </c>
      <c r="D77" s="118" t="s">
        <v>203</v>
      </c>
      <c r="E77" s="119"/>
      <c r="F77" s="145"/>
    </row>
    <row r="78" spans="1:6" s="2" customFormat="1" x14ac:dyDescent="0.25">
      <c r="A78" s="131"/>
      <c r="B78" s="117"/>
      <c r="C78" s="118"/>
      <c r="D78" s="118"/>
      <c r="E78" s="119"/>
      <c r="F78" s="145"/>
    </row>
    <row r="79" spans="1:6" s="2" customFormat="1" x14ac:dyDescent="0.25">
      <c r="A79" s="131" t="s">
        <v>204</v>
      </c>
      <c r="B79" s="117">
        <f>249.67+312.1</f>
        <v>561.77</v>
      </c>
      <c r="C79" s="118" t="s">
        <v>205</v>
      </c>
      <c r="D79" s="118" t="s">
        <v>201</v>
      </c>
      <c r="E79" s="119" t="s">
        <v>202</v>
      </c>
      <c r="F79" s="145"/>
    </row>
    <row r="80" spans="1:6" s="2" customFormat="1" x14ac:dyDescent="0.25">
      <c r="A80" s="131" t="s">
        <v>204</v>
      </c>
      <c r="B80" s="117">
        <f>36.88+56.47</f>
        <v>93.35</v>
      </c>
      <c r="C80" s="118" t="s">
        <v>205</v>
      </c>
      <c r="D80" s="118" t="s">
        <v>206</v>
      </c>
      <c r="E80" s="119"/>
      <c r="F80" s="145"/>
    </row>
    <row r="81" spans="1:6" s="2" customFormat="1" x14ac:dyDescent="0.25">
      <c r="A81" s="131"/>
      <c r="B81" s="117"/>
      <c r="C81" s="118"/>
      <c r="D81" s="118"/>
      <c r="E81" s="119"/>
      <c r="F81" s="145"/>
    </row>
    <row r="82" spans="1:6" s="2" customFormat="1" x14ac:dyDescent="0.25">
      <c r="A82" s="131" t="s">
        <v>207</v>
      </c>
      <c r="B82" s="117">
        <f>257.45+11</f>
        <v>268.45</v>
      </c>
      <c r="C82" s="118" t="s">
        <v>208</v>
      </c>
      <c r="D82" s="118" t="s">
        <v>201</v>
      </c>
      <c r="E82" s="119" t="s">
        <v>209</v>
      </c>
      <c r="F82" s="145"/>
    </row>
    <row r="83" spans="1:6" s="2" customFormat="1" x14ac:dyDescent="0.25">
      <c r="A83" s="131" t="s">
        <v>207</v>
      </c>
      <c r="B83" s="117">
        <f>21.61+5.72+7.53+8.16+49.5</f>
        <v>92.52</v>
      </c>
      <c r="C83" s="118" t="s">
        <v>208</v>
      </c>
      <c r="D83" s="118" t="s">
        <v>210</v>
      </c>
      <c r="E83" s="119"/>
      <c r="F83" s="145"/>
    </row>
    <row r="84" spans="1:6" s="2" customFormat="1" x14ac:dyDescent="0.25">
      <c r="A84" s="131"/>
      <c r="B84" s="117"/>
      <c r="C84" s="118"/>
      <c r="D84" s="118"/>
      <c r="E84" s="119"/>
      <c r="F84" s="145"/>
    </row>
    <row r="85" spans="1:6" s="2" customFormat="1" ht="25" x14ac:dyDescent="0.25">
      <c r="A85" s="131" t="s">
        <v>211</v>
      </c>
      <c r="B85" s="117">
        <f>(328.12+7)</f>
        <v>335.12</v>
      </c>
      <c r="C85" s="118" t="s">
        <v>212</v>
      </c>
      <c r="D85" s="118" t="s">
        <v>138</v>
      </c>
      <c r="E85" s="119" t="s">
        <v>213</v>
      </c>
      <c r="F85" s="148"/>
    </row>
    <row r="86" spans="1:6" s="2" customFormat="1" ht="25" x14ac:dyDescent="0.25">
      <c r="A86" s="131">
        <v>44861</v>
      </c>
      <c r="B86" s="117">
        <f>137.84+311.3</f>
        <v>449.14</v>
      </c>
      <c r="C86" s="118" t="s">
        <v>212</v>
      </c>
      <c r="D86" s="118" t="s">
        <v>214</v>
      </c>
      <c r="E86" s="119" t="s">
        <v>215</v>
      </c>
      <c r="F86" s="148"/>
    </row>
    <row r="87" spans="1:6" s="2" customFormat="1" ht="25" x14ac:dyDescent="0.25">
      <c r="A87" s="131" t="s">
        <v>211</v>
      </c>
      <c r="B87" s="117">
        <f>47.4+7.6+6.77+6.45+11.58+11.66+9.09+11.05</f>
        <v>111.6</v>
      </c>
      <c r="C87" s="118" t="s">
        <v>212</v>
      </c>
      <c r="D87" s="118" t="s">
        <v>216</v>
      </c>
      <c r="E87" s="119" t="s">
        <v>6</v>
      </c>
      <c r="F87" s="145"/>
    </row>
    <row r="88" spans="1:6" s="2" customFormat="1" ht="25" x14ac:dyDescent="0.25">
      <c r="A88" s="131" t="s">
        <v>211</v>
      </c>
      <c r="B88" s="117">
        <v>265.60000000000002</v>
      </c>
      <c r="C88" s="118" t="s">
        <v>212</v>
      </c>
      <c r="D88" s="118" t="s">
        <v>217</v>
      </c>
      <c r="E88" s="119" t="s">
        <v>218</v>
      </c>
      <c r="F88" s="145"/>
    </row>
    <row r="89" spans="1:6" s="2" customFormat="1" x14ac:dyDescent="0.25">
      <c r="A89" s="131"/>
      <c r="B89" s="117"/>
      <c r="C89" s="118"/>
      <c r="D89" s="118"/>
      <c r="E89" s="119"/>
      <c r="F89" s="145"/>
    </row>
    <row r="90" spans="1:6" s="2" customFormat="1" x14ac:dyDescent="0.25">
      <c r="A90" s="131" t="s">
        <v>219</v>
      </c>
      <c r="B90" s="117">
        <v>284.26</v>
      </c>
      <c r="C90" s="118" t="s">
        <v>220</v>
      </c>
      <c r="D90" s="118" t="s">
        <v>138</v>
      </c>
      <c r="E90" s="119" t="s">
        <v>221</v>
      </c>
      <c r="F90" s="145"/>
    </row>
    <row r="91" spans="1:6" s="2" customFormat="1" x14ac:dyDescent="0.25">
      <c r="A91" s="131" t="s">
        <v>219</v>
      </c>
      <c r="B91" s="117">
        <f>92.96+84.8+51.9+57.72-5.77+28.68+48.85</f>
        <v>359.14000000000004</v>
      </c>
      <c r="C91" s="118" t="s">
        <v>220</v>
      </c>
      <c r="D91" s="118" t="s">
        <v>222</v>
      </c>
      <c r="E91" s="119" t="s">
        <v>223</v>
      </c>
      <c r="F91" s="145"/>
    </row>
    <row r="92" spans="1:6" s="2" customFormat="1" ht="12" customHeight="1" x14ac:dyDescent="0.25">
      <c r="A92" s="131"/>
      <c r="B92" s="117"/>
      <c r="C92" s="118"/>
      <c r="D92" s="118"/>
      <c r="E92" s="119"/>
      <c r="F92" s="145"/>
    </row>
    <row r="93" spans="1:6" s="2" customFormat="1" hidden="1" x14ac:dyDescent="0.25">
      <c r="A93" s="131"/>
      <c r="B93" s="117"/>
      <c r="C93" s="118"/>
      <c r="D93" s="118"/>
      <c r="E93" s="119"/>
      <c r="F93" s="145"/>
    </row>
    <row r="94" spans="1:6" s="2" customFormat="1" x14ac:dyDescent="0.25">
      <c r="A94" s="131">
        <v>44869</v>
      </c>
      <c r="B94" s="117">
        <f>327.27+332.33+20+20+0.02</f>
        <v>699.61999999999989</v>
      </c>
      <c r="C94" s="118" t="s">
        <v>224</v>
      </c>
      <c r="D94" s="118" t="s">
        <v>138</v>
      </c>
      <c r="E94" s="119" t="s">
        <v>221</v>
      </c>
      <c r="F94" s="145"/>
    </row>
    <row r="95" spans="1:6" s="2" customFormat="1" x14ac:dyDescent="0.25">
      <c r="A95" s="131">
        <v>44869</v>
      </c>
      <c r="B95" s="117">
        <v>47.24</v>
      </c>
      <c r="C95" s="118" t="s">
        <v>224</v>
      </c>
      <c r="D95" s="118" t="s">
        <v>5</v>
      </c>
      <c r="E95" s="119" t="s">
        <v>223</v>
      </c>
      <c r="F95" s="145"/>
    </row>
    <row r="96" spans="1:6" s="2" customFormat="1" x14ac:dyDescent="0.25">
      <c r="A96" s="131"/>
      <c r="B96" s="117"/>
      <c r="C96" s="118"/>
      <c r="D96" s="118"/>
      <c r="E96" s="119"/>
      <c r="F96" s="145"/>
    </row>
    <row r="97" spans="1:6" s="2" customFormat="1" x14ac:dyDescent="0.25">
      <c r="A97" s="131" t="s">
        <v>225</v>
      </c>
      <c r="B97" s="117">
        <f>(161.11+396.42+7+7)</f>
        <v>571.53</v>
      </c>
      <c r="C97" s="118" t="s">
        <v>226</v>
      </c>
      <c r="D97" s="118" t="s">
        <v>138</v>
      </c>
      <c r="E97" s="119" t="s">
        <v>227</v>
      </c>
      <c r="F97" s="145"/>
    </row>
    <row r="98" spans="1:6" s="2" customFormat="1" x14ac:dyDescent="0.25">
      <c r="A98" s="131" t="s">
        <v>225</v>
      </c>
      <c r="B98" s="117">
        <f>45.27+57.67-5.77</f>
        <v>97.17</v>
      </c>
      <c r="C98" s="118" t="s">
        <v>226</v>
      </c>
      <c r="D98" s="118" t="s">
        <v>228</v>
      </c>
      <c r="E98" s="119" t="s">
        <v>2</v>
      </c>
      <c r="F98" s="145"/>
    </row>
    <row r="99" spans="1:6" s="2" customFormat="1" x14ac:dyDescent="0.25">
      <c r="A99" s="131"/>
      <c r="B99" s="117"/>
      <c r="C99" s="118"/>
      <c r="D99" s="118"/>
      <c r="E99" s="119"/>
      <c r="F99" s="145"/>
    </row>
    <row r="100" spans="1:6" s="2" customFormat="1" ht="23.65" customHeight="1" x14ac:dyDescent="0.25">
      <c r="A100" s="131" t="s">
        <v>229</v>
      </c>
      <c r="B100" s="117">
        <f>62.72+49.58+55.78+22.47+9.14+9.24+14.17+23.88</f>
        <v>246.98</v>
      </c>
      <c r="C100" s="118" t="s">
        <v>230</v>
      </c>
      <c r="D100" s="118" t="s">
        <v>193</v>
      </c>
      <c r="E100" s="119" t="s">
        <v>6</v>
      </c>
      <c r="F100" s="145"/>
    </row>
    <row r="101" spans="1:6" s="2" customFormat="1" x14ac:dyDescent="0.25">
      <c r="A101" s="131"/>
      <c r="B101" s="117"/>
      <c r="C101" s="118"/>
      <c r="D101" s="118"/>
      <c r="E101" s="119"/>
      <c r="F101" s="145"/>
    </row>
    <row r="102" spans="1:6" s="2" customFormat="1" x14ac:dyDescent="0.25">
      <c r="A102" s="131" t="s">
        <v>231</v>
      </c>
      <c r="B102" s="117">
        <v>312.08</v>
      </c>
      <c r="C102" s="118" t="s">
        <v>232</v>
      </c>
      <c r="D102" s="118" t="s">
        <v>233</v>
      </c>
      <c r="E102" s="119" t="s">
        <v>197</v>
      </c>
      <c r="F102" s="145"/>
    </row>
    <row r="103" spans="1:6" s="2" customFormat="1" x14ac:dyDescent="0.25">
      <c r="A103" s="131" t="s">
        <v>231</v>
      </c>
      <c r="B103" s="117">
        <f>51.93+47.55</f>
        <v>99.47999999999999</v>
      </c>
      <c r="C103" s="118" t="s">
        <v>232</v>
      </c>
      <c r="D103" s="118" t="s">
        <v>180</v>
      </c>
      <c r="E103" s="119" t="s">
        <v>292</v>
      </c>
      <c r="F103" s="145"/>
    </row>
    <row r="104" spans="1:6" s="2" customFormat="1" x14ac:dyDescent="0.25">
      <c r="A104" s="131"/>
      <c r="B104" s="117"/>
      <c r="C104" s="118"/>
      <c r="D104" s="118"/>
      <c r="E104" s="119"/>
      <c r="F104" s="145"/>
    </row>
    <row r="105" spans="1:6" s="2" customFormat="1" x14ac:dyDescent="0.25">
      <c r="A105" s="131">
        <v>44888</v>
      </c>
      <c r="B105" s="117">
        <v>178.1</v>
      </c>
      <c r="C105" s="118" t="s">
        <v>234</v>
      </c>
      <c r="D105" s="118" t="s">
        <v>138</v>
      </c>
      <c r="E105" s="119" t="s">
        <v>235</v>
      </c>
      <c r="F105" s="145"/>
    </row>
    <row r="106" spans="1:6" s="2" customFormat="1" x14ac:dyDescent="0.25">
      <c r="A106" s="131">
        <v>44888</v>
      </c>
      <c r="B106" s="117">
        <f>31.46+30.9+29.68+29.38</f>
        <v>121.41999999999999</v>
      </c>
      <c r="C106" s="118" t="s">
        <v>234</v>
      </c>
      <c r="D106" s="118" t="s">
        <v>180</v>
      </c>
      <c r="E106" s="119" t="s">
        <v>236</v>
      </c>
      <c r="F106" s="145"/>
    </row>
    <row r="107" spans="1:6" s="2" customFormat="1" x14ac:dyDescent="0.25">
      <c r="A107" s="131"/>
      <c r="B107" s="117"/>
      <c r="C107" s="118"/>
      <c r="D107" s="118"/>
      <c r="E107" s="119"/>
      <c r="F107" s="145"/>
    </row>
    <row r="108" spans="1:6" s="2" customFormat="1" ht="18" customHeight="1" x14ac:dyDescent="0.25">
      <c r="A108" s="131" t="s">
        <v>237</v>
      </c>
      <c r="B108" s="117">
        <f>296.06+158.57</f>
        <v>454.63</v>
      </c>
      <c r="C108" s="118" t="s">
        <v>238</v>
      </c>
      <c r="D108" s="118" t="s">
        <v>138</v>
      </c>
      <c r="E108" s="119" t="s">
        <v>202</v>
      </c>
      <c r="F108" s="145"/>
    </row>
    <row r="109" spans="1:6" s="2" customFormat="1" ht="19.5" customHeight="1" x14ac:dyDescent="0.25">
      <c r="A109" s="131" t="s">
        <v>237</v>
      </c>
      <c r="B109" s="117">
        <f>26.98+51.5+27.7+13.42+52.92+42.92</f>
        <v>215.44</v>
      </c>
      <c r="C109" s="118" t="s">
        <v>238</v>
      </c>
      <c r="D109" s="118" t="s">
        <v>180</v>
      </c>
      <c r="E109" s="119" t="s">
        <v>6</v>
      </c>
      <c r="F109" s="145"/>
    </row>
    <row r="110" spans="1:6" s="2" customFormat="1" x14ac:dyDescent="0.25">
      <c r="A110" s="131" t="s">
        <v>239</v>
      </c>
      <c r="B110" s="117">
        <v>190.9</v>
      </c>
      <c r="C110" s="118" t="s">
        <v>240</v>
      </c>
      <c r="D110" s="118" t="s">
        <v>241</v>
      </c>
      <c r="E110" s="119" t="s">
        <v>242</v>
      </c>
      <c r="F110" s="145"/>
    </row>
    <row r="111" spans="1:6" s="2" customFormat="1" x14ac:dyDescent="0.25">
      <c r="A111" s="131" t="s">
        <v>239</v>
      </c>
      <c r="B111" s="117">
        <v>257.48</v>
      </c>
      <c r="C111" s="118" t="s">
        <v>240</v>
      </c>
      <c r="D111" s="118" t="s">
        <v>135</v>
      </c>
      <c r="E111" s="119" t="s">
        <v>158</v>
      </c>
      <c r="F111" s="145"/>
    </row>
    <row r="112" spans="1:6" s="2" customFormat="1" x14ac:dyDescent="0.25">
      <c r="A112" s="131"/>
      <c r="B112" s="117"/>
      <c r="C112" s="118"/>
      <c r="D112" s="118"/>
      <c r="E112" s="119"/>
      <c r="F112" s="145"/>
    </row>
    <row r="113" spans="1:6" s="2" customFormat="1" x14ac:dyDescent="0.25">
      <c r="A113" s="131" t="s">
        <v>243</v>
      </c>
      <c r="B113" s="117">
        <f>46.76+25.72+52.65</f>
        <v>125.13</v>
      </c>
      <c r="C113" s="118" t="s">
        <v>244</v>
      </c>
      <c r="D113" s="118" t="s">
        <v>245</v>
      </c>
      <c r="E113" s="119" t="s">
        <v>246</v>
      </c>
      <c r="F113" s="145"/>
    </row>
    <row r="114" spans="1:6" s="2" customFormat="1" x14ac:dyDescent="0.25">
      <c r="A114" s="131" t="s">
        <v>243</v>
      </c>
      <c r="B114" s="117">
        <v>621.64</v>
      </c>
      <c r="C114" s="118" t="s">
        <v>244</v>
      </c>
      <c r="D114" s="118" t="s">
        <v>138</v>
      </c>
      <c r="E114" s="119" t="s">
        <v>202</v>
      </c>
      <c r="F114" s="145"/>
    </row>
    <row r="115" spans="1:6" s="2" customFormat="1" x14ac:dyDescent="0.25">
      <c r="A115" s="131"/>
      <c r="B115" s="117"/>
      <c r="C115" s="118"/>
      <c r="D115" s="118"/>
      <c r="E115" s="119"/>
      <c r="F115" s="145"/>
    </row>
    <row r="116" spans="1:6" s="2" customFormat="1" x14ac:dyDescent="0.25">
      <c r="A116" s="131" t="s">
        <v>247</v>
      </c>
      <c r="B116" s="117">
        <f>387.99+51.46</f>
        <v>439.45</v>
      </c>
      <c r="C116" s="118" t="s">
        <v>248</v>
      </c>
      <c r="D116" s="118" t="s">
        <v>138</v>
      </c>
      <c r="E116" s="119" t="s">
        <v>249</v>
      </c>
      <c r="F116" s="145"/>
    </row>
    <row r="117" spans="1:6" s="2" customFormat="1" x14ac:dyDescent="0.25">
      <c r="A117" s="131" t="s">
        <v>247</v>
      </c>
      <c r="B117" s="117">
        <f>37.56+35.41+29.12</f>
        <v>102.09</v>
      </c>
      <c r="C117" s="118" t="s">
        <v>248</v>
      </c>
      <c r="D117" s="118" t="s">
        <v>180</v>
      </c>
      <c r="E117" s="119" t="s">
        <v>249</v>
      </c>
      <c r="F117" s="145"/>
    </row>
    <row r="118" spans="1:6" s="2" customFormat="1" x14ac:dyDescent="0.25">
      <c r="A118" s="131"/>
      <c r="B118" s="117"/>
      <c r="C118" s="118"/>
      <c r="D118" s="118"/>
      <c r="E118" s="119"/>
      <c r="F118" s="145"/>
    </row>
    <row r="119" spans="1:6" s="2" customFormat="1" x14ac:dyDescent="0.25">
      <c r="A119" s="131">
        <v>44904</v>
      </c>
      <c r="B119" s="117">
        <v>20</v>
      </c>
      <c r="C119" s="118" t="s">
        <v>465</v>
      </c>
      <c r="D119" s="118" t="s">
        <v>250</v>
      </c>
      <c r="E119" s="119"/>
      <c r="F119" s="145"/>
    </row>
    <row r="120" spans="1:6" s="2" customFormat="1" x14ac:dyDescent="0.25">
      <c r="A120" s="131"/>
      <c r="B120" s="117"/>
      <c r="C120" s="118"/>
      <c r="D120" s="118"/>
      <c r="E120" s="119"/>
      <c r="F120" s="145"/>
    </row>
    <row r="121" spans="1:6" s="2" customFormat="1" x14ac:dyDescent="0.25">
      <c r="A121" s="131" t="s">
        <v>251</v>
      </c>
      <c r="B121" s="117">
        <f>454.63+180.97+7</f>
        <v>642.6</v>
      </c>
      <c r="C121" s="118" t="s">
        <v>252</v>
      </c>
      <c r="D121" s="118" t="s">
        <v>138</v>
      </c>
      <c r="E121" s="119" t="s">
        <v>253</v>
      </c>
      <c r="F121" s="145"/>
    </row>
    <row r="122" spans="1:6" s="2" customFormat="1" x14ac:dyDescent="0.25">
      <c r="A122" s="131" t="s">
        <v>251</v>
      </c>
      <c r="B122" s="117">
        <f>40.48</f>
        <v>40.479999999999997</v>
      </c>
      <c r="C122" s="118" t="s">
        <v>252</v>
      </c>
      <c r="D122" s="118" t="s">
        <v>180</v>
      </c>
      <c r="E122" s="119" t="s">
        <v>2</v>
      </c>
      <c r="F122" s="145"/>
    </row>
    <row r="123" spans="1:6" s="2" customFormat="1" x14ac:dyDescent="0.25">
      <c r="A123" s="131"/>
      <c r="B123" s="117"/>
      <c r="C123" s="118"/>
      <c r="D123" s="118"/>
      <c r="E123" s="119"/>
      <c r="F123" s="145"/>
    </row>
    <row r="124" spans="1:6" s="2" customFormat="1" x14ac:dyDescent="0.25">
      <c r="A124" s="131" t="s">
        <v>254</v>
      </c>
      <c r="B124" s="117">
        <f>(269.91+190.85)</f>
        <v>460.76</v>
      </c>
      <c r="C124" s="118" t="s">
        <v>255</v>
      </c>
      <c r="D124" s="118" t="s">
        <v>138</v>
      </c>
      <c r="E124" s="119" t="s">
        <v>444</v>
      </c>
      <c r="F124" s="145"/>
    </row>
    <row r="125" spans="1:6" s="2" customFormat="1" x14ac:dyDescent="0.25">
      <c r="A125" s="131" t="s">
        <v>254</v>
      </c>
      <c r="B125" s="117">
        <f>31.27+6.47+43.15</f>
        <v>80.89</v>
      </c>
      <c r="C125" s="118" t="s">
        <v>256</v>
      </c>
      <c r="D125" s="118" t="s">
        <v>5</v>
      </c>
      <c r="E125" s="119" t="s">
        <v>2</v>
      </c>
      <c r="F125" s="145"/>
    </row>
    <row r="126" spans="1:6" s="2" customFormat="1" x14ac:dyDescent="0.25">
      <c r="A126" s="131" t="s">
        <v>254</v>
      </c>
      <c r="B126" s="117">
        <v>129.57</v>
      </c>
      <c r="C126" s="118" t="s">
        <v>256</v>
      </c>
      <c r="D126" s="118" t="s">
        <v>257</v>
      </c>
      <c r="E126" s="119" t="s">
        <v>6</v>
      </c>
      <c r="F126" s="145"/>
    </row>
    <row r="127" spans="1:6" s="2" customFormat="1" x14ac:dyDescent="0.25">
      <c r="A127" s="131"/>
      <c r="B127" s="117"/>
      <c r="C127" s="118"/>
      <c r="D127" s="118"/>
      <c r="E127" s="119"/>
      <c r="F127" s="145"/>
    </row>
    <row r="128" spans="1:6" s="2" customFormat="1" x14ac:dyDescent="0.25">
      <c r="A128" s="131" t="s">
        <v>258</v>
      </c>
      <c r="B128" s="117">
        <v>426.8</v>
      </c>
      <c r="C128" s="118" t="s">
        <v>259</v>
      </c>
      <c r="D128" s="118" t="s">
        <v>138</v>
      </c>
      <c r="E128" s="119" t="s">
        <v>253</v>
      </c>
      <c r="F128" s="145"/>
    </row>
    <row r="129" spans="1:6" s="2" customFormat="1" x14ac:dyDescent="0.25">
      <c r="A129" s="131" t="s">
        <v>258</v>
      </c>
      <c r="B129" s="117">
        <v>45.27</v>
      </c>
      <c r="C129" s="118" t="s">
        <v>259</v>
      </c>
      <c r="D129" s="118" t="s">
        <v>5</v>
      </c>
      <c r="E129" s="119" t="s">
        <v>260</v>
      </c>
      <c r="F129" s="145"/>
    </row>
    <row r="130" spans="1:6" s="2" customFormat="1" x14ac:dyDescent="0.25">
      <c r="A130" s="131" t="s">
        <v>258</v>
      </c>
      <c r="B130" s="117">
        <v>101.73</v>
      </c>
      <c r="C130" s="118" t="s">
        <v>259</v>
      </c>
      <c r="D130" s="118" t="s">
        <v>261</v>
      </c>
      <c r="E130" s="119" t="s">
        <v>6</v>
      </c>
      <c r="F130" s="145"/>
    </row>
    <row r="131" spans="1:6" s="2" customFormat="1" x14ac:dyDescent="0.25">
      <c r="A131" s="131"/>
      <c r="B131" s="117"/>
      <c r="C131" s="118"/>
      <c r="D131" s="118"/>
      <c r="E131" s="119"/>
      <c r="F131" s="145"/>
    </row>
    <row r="132" spans="1:6" s="2" customFormat="1" x14ac:dyDescent="0.25">
      <c r="A132" s="131" t="s">
        <v>460</v>
      </c>
      <c r="B132" s="117">
        <f>(20+262.32)</f>
        <v>282.32</v>
      </c>
      <c r="C132" s="118" t="s">
        <v>232</v>
      </c>
      <c r="D132" s="118" t="s">
        <v>138</v>
      </c>
      <c r="E132" s="119" t="s">
        <v>262</v>
      </c>
      <c r="F132" s="145"/>
    </row>
    <row r="133" spans="1:6" s="2" customFormat="1" x14ac:dyDescent="0.25">
      <c r="A133" s="131" t="s">
        <v>460</v>
      </c>
      <c r="B133" s="117">
        <v>89.56</v>
      </c>
      <c r="C133" s="118" t="s">
        <v>232</v>
      </c>
      <c r="D133" s="118" t="s">
        <v>261</v>
      </c>
      <c r="E133" s="119" t="s">
        <v>6</v>
      </c>
      <c r="F133" s="145"/>
    </row>
    <row r="134" spans="1:6" s="2" customFormat="1" x14ac:dyDescent="0.25">
      <c r="A134" s="131" t="s">
        <v>460</v>
      </c>
      <c r="B134" s="117">
        <v>52.6</v>
      </c>
      <c r="C134" s="118" t="s">
        <v>232</v>
      </c>
      <c r="D134" s="118" t="s">
        <v>263</v>
      </c>
      <c r="E134" s="119" t="s">
        <v>6</v>
      </c>
      <c r="F134" s="145"/>
    </row>
    <row r="135" spans="1:6" s="2" customFormat="1" x14ac:dyDescent="0.25">
      <c r="A135" s="131"/>
      <c r="B135" s="117"/>
      <c r="C135" s="118"/>
      <c r="D135" s="118"/>
      <c r="E135" s="119"/>
      <c r="F135" s="145"/>
    </row>
    <row r="136" spans="1:6" s="2" customFormat="1" x14ac:dyDescent="0.25">
      <c r="A136" s="131">
        <v>44967</v>
      </c>
      <c r="B136" s="117">
        <v>199.2</v>
      </c>
      <c r="C136" s="118" t="s">
        <v>264</v>
      </c>
      <c r="D136" s="118" t="s">
        <v>265</v>
      </c>
      <c r="E136" s="119" t="s">
        <v>266</v>
      </c>
      <c r="F136" s="145"/>
    </row>
    <row r="137" spans="1:6" s="2" customFormat="1" x14ac:dyDescent="0.25">
      <c r="A137" s="131"/>
      <c r="B137" s="117"/>
      <c r="C137" s="118"/>
      <c r="D137" s="118"/>
      <c r="E137" s="119"/>
      <c r="F137" s="145"/>
    </row>
    <row r="138" spans="1:6" s="2" customFormat="1" x14ac:dyDescent="0.25">
      <c r="A138" s="131">
        <v>44971</v>
      </c>
      <c r="B138" s="117">
        <f>(43.48+374.5)</f>
        <v>417.98</v>
      </c>
      <c r="C138" s="118" t="s">
        <v>267</v>
      </c>
      <c r="D138" s="118" t="s">
        <v>268</v>
      </c>
      <c r="E138" s="119" t="s">
        <v>269</v>
      </c>
      <c r="F138" s="145"/>
    </row>
    <row r="139" spans="1:6" s="2" customFormat="1" x14ac:dyDescent="0.25">
      <c r="A139" s="131"/>
      <c r="B139" s="117"/>
      <c r="C139" s="118"/>
      <c r="D139" s="118"/>
      <c r="E139" s="119"/>
      <c r="F139" s="145"/>
    </row>
    <row r="140" spans="1:6" s="2" customFormat="1" x14ac:dyDescent="0.25">
      <c r="A140" s="131" t="s">
        <v>270</v>
      </c>
      <c r="B140" s="117">
        <f>20+66.26</f>
        <v>86.26</v>
      </c>
      <c r="C140" s="118" t="s">
        <v>267</v>
      </c>
      <c r="D140" s="118" t="s">
        <v>138</v>
      </c>
      <c r="E140" s="119" t="s">
        <v>202</v>
      </c>
      <c r="F140" s="145"/>
    </row>
    <row r="141" spans="1:6" s="2" customFormat="1" x14ac:dyDescent="0.25">
      <c r="A141" s="131" t="s">
        <v>271</v>
      </c>
      <c r="B141" s="117">
        <f>30.01+41.22</f>
        <v>71.23</v>
      </c>
      <c r="C141" s="118" t="s">
        <v>267</v>
      </c>
      <c r="D141" s="118" t="s">
        <v>5</v>
      </c>
      <c r="E141" s="119" t="s">
        <v>6</v>
      </c>
      <c r="F141" s="145"/>
    </row>
    <row r="142" spans="1:6" s="2" customFormat="1" x14ac:dyDescent="0.25">
      <c r="A142" s="131"/>
      <c r="B142" s="117"/>
      <c r="C142" s="118"/>
      <c r="D142" s="118"/>
      <c r="E142" s="119"/>
      <c r="F142" s="145"/>
    </row>
    <row r="143" spans="1:6" s="2" customFormat="1" x14ac:dyDescent="0.25">
      <c r="A143" s="131" t="s">
        <v>273</v>
      </c>
      <c r="B143" s="117">
        <f>329.8+43.48</f>
        <v>373.28000000000003</v>
      </c>
      <c r="C143" s="118" t="s">
        <v>274</v>
      </c>
      <c r="D143" s="118" t="s">
        <v>138</v>
      </c>
      <c r="E143" s="119" t="s">
        <v>275</v>
      </c>
      <c r="F143" s="145"/>
    </row>
    <row r="144" spans="1:6" s="2" customFormat="1" x14ac:dyDescent="0.25">
      <c r="A144" s="131" t="s">
        <v>273</v>
      </c>
      <c r="B144" s="117">
        <f>34.56+24.21+48.77+13.75+9.31+51.83</f>
        <v>182.43</v>
      </c>
      <c r="C144" s="118" t="s">
        <v>274</v>
      </c>
      <c r="D144" s="118" t="s">
        <v>276</v>
      </c>
      <c r="E144" s="119"/>
      <c r="F144" s="145"/>
    </row>
    <row r="145" spans="1:6" s="2" customFormat="1" x14ac:dyDescent="0.25">
      <c r="A145" s="131"/>
      <c r="B145" s="117"/>
      <c r="C145" s="118"/>
      <c r="D145" s="118"/>
      <c r="E145" s="119"/>
      <c r="F145" s="145"/>
    </row>
    <row r="146" spans="1:6" s="2" customFormat="1" x14ac:dyDescent="0.25">
      <c r="A146" s="131" t="s">
        <v>277</v>
      </c>
      <c r="B146" s="117">
        <f>351.73+332.33+227.36+20+10+10+20+20</f>
        <v>991.42</v>
      </c>
      <c r="C146" s="118" t="s">
        <v>278</v>
      </c>
      <c r="D146" s="118" t="s">
        <v>138</v>
      </c>
      <c r="E146" s="119" t="s">
        <v>275</v>
      </c>
      <c r="F146" s="145"/>
    </row>
    <row r="147" spans="1:6" s="2" customFormat="1" x14ac:dyDescent="0.25">
      <c r="A147" s="131" t="s">
        <v>277</v>
      </c>
      <c r="B147" s="117">
        <f>50.14+25.42+32.26+46.61</f>
        <v>154.43</v>
      </c>
      <c r="C147" s="118" t="s">
        <v>279</v>
      </c>
      <c r="D147" s="118" t="s">
        <v>280</v>
      </c>
      <c r="E147" s="119" t="s">
        <v>2</v>
      </c>
      <c r="F147" s="145"/>
    </row>
    <row r="148" spans="1:6" s="2" customFormat="1" x14ac:dyDescent="0.25">
      <c r="A148" s="131"/>
      <c r="B148" s="117"/>
      <c r="C148" s="118"/>
      <c r="D148" s="118"/>
      <c r="E148" s="119"/>
      <c r="F148" s="145"/>
    </row>
    <row r="149" spans="1:6" s="2" customFormat="1" x14ac:dyDescent="0.25">
      <c r="A149" s="131" t="s">
        <v>282</v>
      </c>
      <c r="B149" s="117">
        <f>215.85+95.77+20+43.48</f>
        <v>375.1</v>
      </c>
      <c r="C149" s="118" t="s">
        <v>281</v>
      </c>
      <c r="D149" s="118" t="s">
        <v>138</v>
      </c>
      <c r="E149" s="119" t="s">
        <v>275</v>
      </c>
      <c r="F149" s="145"/>
    </row>
    <row r="150" spans="1:6" s="2" customFormat="1" x14ac:dyDescent="0.25">
      <c r="A150" s="131" t="s">
        <v>282</v>
      </c>
      <c r="B150" s="117">
        <f>50.52+50.14</f>
        <v>100.66</v>
      </c>
      <c r="C150" s="118" t="s">
        <v>283</v>
      </c>
      <c r="D150" s="118" t="s">
        <v>222</v>
      </c>
      <c r="E150" s="119" t="s">
        <v>2</v>
      </c>
      <c r="F150" s="145"/>
    </row>
    <row r="151" spans="1:6" s="2" customFormat="1" x14ac:dyDescent="0.25">
      <c r="A151" s="131" t="s">
        <v>282</v>
      </c>
      <c r="B151" s="117">
        <v>161.74</v>
      </c>
      <c r="C151" s="118" t="s">
        <v>283</v>
      </c>
      <c r="D151" s="118" t="s">
        <v>284</v>
      </c>
      <c r="E151" s="119" t="s">
        <v>6</v>
      </c>
      <c r="F151" s="145"/>
    </row>
    <row r="152" spans="1:6" s="2" customFormat="1" x14ac:dyDescent="0.25">
      <c r="A152" s="131"/>
      <c r="B152" s="117"/>
      <c r="C152" s="118"/>
      <c r="D152" s="118"/>
      <c r="E152" s="119"/>
      <c r="F152" s="145"/>
    </row>
    <row r="153" spans="1:6" s="2" customFormat="1" x14ac:dyDescent="0.25">
      <c r="A153" s="131" t="s">
        <v>285</v>
      </c>
      <c r="B153" s="117">
        <f>329.8+43.48+117.7+20+20+11+164.1+43.48</f>
        <v>749.56000000000006</v>
      </c>
      <c r="C153" s="118" t="s">
        <v>286</v>
      </c>
      <c r="D153" s="118" t="s">
        <v>138</v>
      </c>
      <c r="E153" s="119" t="s">
        <v>275</v>
      </c>
      <c r="F153" s="145"/>
    </row>
    <row r="154" spans="1:6" s="2" customFormat="1" x14ac:dyDescent="0.25">
      <c r="A154" s="131" t="s">
        <v>285</v>
      </c>
      <c r="B154" s="117">
        <f>23.04+6.6+49.6+49.42</f>
        <v>128.66000000000003</v>
      </c>
      <c r="C154" s="118" t="s">
        <v>286</v>
      </c>
      <c r="D154" s="118" t="s">
        <v>467</v>
      </c>
      <c r="E154" s="119" t="s">
        <v>478</v>
      </c>
      <c r="F154" s="145"/>
    </row>
    <row r="155" spans="1:6" s="2" customFormat="1" x14ac:dyDescent="0.25">
      <c r="A155" s="131" t="s">
        <v>285</v>
      </c>
      <c r="B155" s="117">
        <v>8.26</v>
      </c>
      <c r="C155" s="118" t="s">
        <v>286</v>
      </c>
      <c r="D155" s="118" t="s">
        <v>272</v>
      </c>
      <c r="E155" s="119"/>
      <c r="F155" s="145"/>
    </row>
    <row r="156" spans="1:6" s="2" customFormat="1" x14ac:dyDescent="0.25">
      <c r="A156" s="131"/>
      <c r="B156" s="117"/>
      <c r="C156" s="118"/>
      <c r="D156" s="118"/>
      <c r="E156" s="119"/>
      <c r="F156" s="145"/>
    </row>
    <row r="157" spans="1:6" s="2" customFormat="1" x14ac:dyDescent="0.25">
      <c r="A157" s="131">
        <v>45047</v>
      </c>
      <c r="B157" s="117">
        <f>(20+20+20+397.28)</f>
        <v>457.28</v>
      </c>
      <c r="C157" s="118" t="s">
        <v>287</v>
      </c>
      <c r="D157" s="118" t="s">
        <v>466</v>
      </c>
      <c r="E157" s="119" t="s">
        <v>197</v>
      </c>
      <c r="F157" s="145"/>
    </row>
    <row r="158" spans="1:6" s="2" customFormat="1" x14ac:dyDescent="0.25">
      <c r="A158" s="131">
        <v>45047</v>
      </c>
      <c r="B158" s="117">
        <f>54.29+51.3</f>
        <v>105.59</v>
      </c>
      <c r="C158" s="118" t="s">
        <v>287</v>
      </c>
      <c r="D158" s="118" t="s">
        <v>288</v>
      </c>
      <c r="E158" s="119" t="s">
        <v>2</v>
      </c>
      <c r="F158" s="145"/>
    </row>
    <row r="159" spans="1:6" s="2" customFormat="1" x14ac:dyDescent="0.25">
      <c r="A159" s="131"/>
      <c r="B159" s="117"/>
      <c r="C159" s="118"/>
      <c r="D159" s="118"/>
      <c r="E159" s="119"/>
      <c r="F159" s="145"/>
    </row>
    <row r="160" spans="1:6" s="2" customFormat="1" x14ac:dyDescent="0.25">
      <c r="A160" s="131" t="s">
        <v>290</v>
      </c>
      <c r="B160" s="117">
        <f>426.8+43.48+2+2</f>
        <v>474.28000000000003</v>
      </c>
      <c r="C160" s="118" t="s">
        <v>289</v>
      </c>
      <c r="D160" s="118" t="s">
        <v>138</v>
      </c>
      <c r="E160" s="119" t="s">
        <v>6</v>
      </c>
      <c r="F160" s="145"/>
    </row>
    <row r="161" spans="1:6" s="2" customFormat="1" x14ac:dyDescent="0.25">
      <c r="A161" s="131" t="s">
        <v>290</v>
      </c>
      <c r="B161" s="117">
        <f>44.4+35.1+30.99+8.11+54.58</f>
        <v>173.18</v>
      </c>
      <c r="C161" s="118" t="s">
        <v>289</v>
      </c>
      <c r="D161" s="118" t="s">
        <v>291</v>
      </c>
      <c r="E161" s="119" t="s">
        <v>292</v>
      </c>
      <c r="F161" s="145"/>
    </row>
    <row r="162" spans="1:6" s="2" customFormat="1" x14ac:dyDescent="0.25">
      <c r="A162" s="131"/>
      <c r="B162" s="117"/>
      <c r="C162" s="118"/>
      <c r="D162" s="118"/>
      <c r="E162" s="119"/>
      <c r="F162" s="145"/>
    </row>
    <row r="163" spans="1:6" s="2" customFormat="1" x14ac:dyDescent="0.25">
      <c r="A163" s="131"/>
      <c r="B163" s="117"/>
      <c r="C163" s="118"/>
      <c r="D163" s="118"/>
      <c r="E163" s="119"/>
      <c r="F163" s="145"/>
    </row>
    <row r="164" spans="1:6" s="2" customFormat="1" x14ac:dyDescent="0.25">
      <c r="A164" s="131" t="s">
        <v>293</v>
      </c>
      <c r="B164" s="117">
        <f>539.82</f>
        <v>539.82000000000005</v>
      </c>
      <c r="C164" s="118" t="s">
        <v>294</v>
      </c>
      <c r="D164" s="118" t="s">
        <v>138</v>
      </c>
      <c r="E164" s="119" t="s">
        <v>6</v>
      </c>
      <c r="F164" s="145"/>
    </row>
    <row r="165" spans="1:6" s="2" customFormat="1" x14ac:dyDescent="0.25">
      <c r="A165" s="131" t="s">
        <v>293</v>
      </c>
      <c r="B165" s="117">
        <f>50.17+30.6+11.96+54.56+12.51+50.33+21.27+11.74</f>
        <v>243.14000000000001</v>
      </c>
      <c r="C165" s="118" t="s">
        <v>294</v>
      </c>
      <c r="D165" s="118" t="s">
        <v>295</v>
      </c>
      <c r="E165" s="119" t="s">
        <v>6</v>
      </c>
      <c r="F165" s="145"/>
    </row>
    <row r="166" spans="1:6" s="2" customFormat="1" x14ac:dyDescent="0.25">
      <c r="A166" s="131"/>
      <c r="B166" s="117"/>
      <c r="C166" s="118"/>
      <c r="D166" s="118"/>
      <c r="E166" s="119"/>
      <c r="F166" s="152"/>
    </row>
    <row r="167" spans="1:6" s="2" customFormat="1" x14ac:dyDescent="0.25">
      <c r="A167" s="131" t="s">
        <v>297</v>
      </c>
      <c r="B167" s="117">
        <f>494.27+22</f>
        <v>516.27</v>
      </c>
      <c r="C167" s="118" t="s">
        <v>296</v>
      </c>
      <c r="D167" s="118" t="s">
        <v>138</v>
      </c>
      <c r="E167" s="119" t="s">
        <v>6</v>
      </c>
      <c r="F167" s="1"/>
    </row>
    <row r="168" spans="1:6" s="2" customFormat="1" x14ac:dyDescent="0.25">
      <c r="A168" s="131" t="s">
        <v>297</v>
      </c>
      <c r="B168" s="117">
        <f>47.3+50.57+50.64+59.91</f>
        <v>208.42</v>
      </c>
      <c r="C168" s="118" t="s">
        <v>296</v>
      </c>
      <c r="D168" s="118" t="s">
        <v>323</v>
      </c>
      <c r="E168" s="119" t="s">
        <v>6</v>
      </c>
      <c r="F168" s="145"/>
    </row>
    <row r="169" spans="1:6" s="2" customFormat="1" x14ac:dyDescent="0.25">
      <c r="A169" s="131"/>
      <c r="B169" s="117"/>
      <c r="C169" s="118"/>
      <c r="D169" s="118"/>
      <c r="E169" s="119"/>
      <c r="F169" s="1"/>
    </row>
    <row r="170" spans="1:6" s="2" customFormat="1" x14ac:dyDescent="0.25">
      <c r="A170" s="131" t="s">
        <v>298</v>
      </c>
      <c r="B170" s="117">
        <f>106.28+441.13+113.03</f>
        <v>660.43999999999994</v>
      </c>
      <c r="C170" s="118" t="s">
        <v>299</v>
      </c>
      <c r="D170" s="118" t="s">
        <v>138</v>
      </c>
      <c r="E170" s="119" t="s">
        <v>249</v>
      </c>
      <c r="F170" s="1"/>
    </row>
    <row r="171" spans="1:6" s="2" customFormat="1" x14ac:dyDescent="0.25">
      <c r="A171" s="131" t="s">
        <v>298</v>
      </c>
      <c r="B171" s="117">
        <v>207.39</v>
      </c>
      <c r="C171" s="118" t="s">
        <v>299</v>
      </c>
      <c r="D171" s="118" t="s">
        <v>135</v>
      </c>
      <c r="E171" s="119"/>
      <c r="F171" s="1"/>
    </row>
    <row r="172" spans="1:6" s="2" customFormat="1" x14ac:dyDescent="0.25">
      <c r="A172" s="131" t="s">
        <v>300</v>
      </c>
      <c r="B172" s="117">
        <f>35.1+50.99</f>
        <v>86.09</v>
      </c>
      <c r="C172" s="118" t="s">
        <v>299</v>
      </c>
      <c r="D172" s="118" t="s">
        <v>301</v>
      </c>
      <c r="E172" s="119"/>
      <c r="F172" s="1"/>
    </row>
    <row r="173" spans="1:6" s="2" customFormat="1" ht="12" customHeight="1" x14ac:dyDescent="0.25">
      <c r="A173" s="131"/>
      <c r="B173" s="117"/>
      <c r="C173" s="118"/>
      <c r="D173" s="118"/>
      <c r="E173" s="119"/>
      <c r="F173" s="1"/>
    </row>
    <row r="174" spans="1:6" s="2" customFormat="1" ht="14.25" customHeight="1" x14ac:dyDescent="0.25">
      <c r="A174" s="131">
        <v>45076</v>
      </c>
      <c r="B174" s="117">
        <v>22</v>
      </c>
      <c r="C174" s="118" t="s">
        <v>302</v>
      </c>
      <c r="D174" s="118" t="s">
        <v>138</v>
      </c>
      <c r="E174" s="119" t="s">
        <v>303</v>
      </c>
      <c r="F174" s="1"/>
    </row>
    <row r="175" spans="1:6" s="2" customFormat="1" ht="16.5" customHeight="1" x14ac:dyDescent="0.25">
      <c r="A175" s="131">
        <v>45076</v>
      </c>
      <c r="B175" s="117">
        <f>54.68+49.4</f>
        <v>104.08</v>
      </c>
      <c r="C175" s="118" t="s">
        <v>302</v>
      </c>
      <c r="D175" s="118" t="s">
        <v>304</v>
      </c>
      <c r="E175" s="119" t="s">
        <v>2</v>
      </c>
      <c r="F175" s="1"/>
    </row>
    <row r="176" spans="1:6" s="2" customFormat="1" ht="15" customHeight="1" x14ac:dyDescent="0.25">
      <c r="A176" s="131"/>
      <c r="B176" s="117"/>
      <c r="C176" s="118"/>
      <c r="D176" s="118"/>
      <c r="E176" s="119"/>
      <c r="F176" s="1"/>
    </row>
    <row r="177" spans="1:6" s="2" customFormat="1" ht="15" customHeight="1" x14ac:dyDescent="0.25">
      <c r="A177" s="131" t="s">
        <v>305</v>
      </c>
      <c r="B177" s="117">
        <f>376.2</f>
        <v>376.2</v>
      </c>
      <c r="C177" s="118" t="s">
        <v>306</v>
      </c>
      <c r="D177" s="118" t="s">
        <v>138</v>
      </c>
      <c r="E177" s="119" t="s">
        <v>202</v>
      </c>
      <c r="F177" s="1"/>
    </row>
    <row r="178" spans="1:6" s="2" customFormat="1" ht="15" customHeight="1" x14ac:dyDescent="0.25">
      <c r="A178" s="131" t="s">
        <v>305</v>
      </c>
      <c r="B178" s="117">
        <f>19.07+55.05+15.03+19.58+42.5+23.48+61.88</f>
        <v>236.59</v>
      </c>
      <c r="C178" s="118" t="s">
        <v>306</v>
      </c>
      <c r="D178" s="118" t="s">
        <v>463</v>
      </c>
      <c r="E178" s="119" t="s">
        <v>307</v>
      </c>
    </row>
    <row r="179" spans="1:6" s="2" customFormat="1" ht="15" customHeight="1" x14ac:dyDescent="0.25">
      <c r="A179" s="131"/>
      <c r="B179" s="117"/>
      <c r="C179" s="118"/>
      <c r="D179" s="118"/>
      <c r="E179" s="119"/>
      <c r="F179" s="1"/>
    </row>
    <row r="180" spans="1:6" s="2" customFormat="1" ht="15" customHeight="1" x14ac:dyDescent="0.25">
      <c r="A180" s="131" t="s">
        <v>308</v>
      </c>
      <c r="B180" s="117">
        <f>409.88+168.7</f>
        <v>578.57999999999993</v>
      </c>
      <c r="C180" s="118" t="s">
        <v>309</v>
      </c>
      <c r="D180" s="118" t="s">
        <v>138</v>
      </c>
      <c r="E180" s="119" t="s">
        <v>310</v>
      </c>
      <c r="F180" s="1"/>
    </row>
    <row r="181" spans="1:6" s="2" customFormat="1" ht="15" customHeight="1" x14ac:dyDescent="0.25">
      <c r="A181" s="131" t="s">
        <v>308</v>
      </c>
      <c r="B181" s="153">
        <f>(24+32.8+8.8+53.68)</f>
        <v>119.28</v>
      </c>
      <c r="C181" s="118" t="s">
        <v>309</v>
      </c>
      <c r="D181" s="118" t="s">
        <v>311</v>
      </c>
      <c r="E181" s="119" t="s">
        <v>312</v>
      </c>
      <c r="F181" s="1"/>
    </row>
    <row r="182" spans="1:6" s="2" customFormat="1" ht="15" customHeight="1" x14ac:dyDescent="0.25">
      <c r="A182" s="131"/>
      <c r="B182" s="117"/>
      <c r="C182" s="118"/>
      <c r="D182" s="118"/>
      <c r="E182" s="119"/>
      <c r="F182" s="1"/>
    </row>
    <row r="183" spans="1:6" s="2" customFormat="1" ht="15" customHeight="1" x14ac:dyDescent="0.25">
      <c r="A183" s="131" t="s">
        <v>437</v>
      </c>
      <c r="B183" s="117">
        <f>123.14+262.32</f>
        <v>385.46</v>
      </c>
      <c r="C183" s="118" t="s">
        <v>441</v>
      </c>
      <c r="D183" s="118" t="s">
        <v>138</v>
      </c>
      <c r="E183" s="119" t="s">
        <v>462</v>
      </c>
      <c r="F183" s="1"/>
    </row>
    <row r="184" spans="1:6" s="2" customFormat="1" ht="15" customHeight="1" x14ac:dyDescent="0.25">
      <c r="A184" s="131" t="s">
        <v>451</v>
      </c>
      <c r="B184" s="117">
        <f>43.86+45.92</f>
        <v>89.78</v>
      </c>
      <c r="C184" s="118" t="s">
        <v>441</v>
      </c>
      <c r="D184" s="118" t="s">
        <v>180</v>
      </c>
      <c r="E184" s="119" t="s">
        <v>2</v>
      </c>
      <c r="F184" s="145"/>
    </row>
    <row r="185" spans="1:6" s="2" customFormat="1" ht="15" customHeight="1" x14ac:dyDescent="0.25">
      <c r="A185" s="131" t="s">
        <v>437</v>
      </c>
      <c r="B185" s="117">
        <v>112.17</v>
      </c>
      <c r="C185" s="118" t="s">
        <v>441</v>
      </c>
      <c r="D185" s="118" t="s">
        <v>461</v>
      </c>
      <c r="E185" s="119" t="s">
        <v>6</v>
      </c>
      <c r="F185" s="145"/>
    </row>
    <row r="186" spans="1:6" s="2" customFormat="1" ht="15" customHeight="1" x14ac:dyDescent="0.25">
      <c r="A186" s="131"/>
      <c r="B186" s="117"/>
      <c r="C186" s="118"/>
      <c r="D186" s="118"/>
      <c r="E186" s="119"/>
      <c r="F186" s="1"/>
    </row>
    <row r="187" spans="1:6" s="2" customFormat="1" ht="15" customHeight="1" x14ac:dyDescent="0.25">
      <c r="A187" s="131" t="s">
        <v>442</v>
      </c>
      <c r="B187" s="117">
        <v>404.02</v>
      </c>
      <c r="C187" s="118" t="s">
        <v>443</v>
      </c>
      <c r="D187" s="118" t="s">
        <v>138</v>
      </c>
      <c r="E187" s="119" t="s">
        <v>438</v>
      </c>
      <c r="F187" s="1"/>
    </row>
    <row r="188" spans="1:6" s="2" customFormat="1" ht="15" customHeight="1" x14ac:dyDescent="0.25">
      <c r="A188" s="131" t="s">
        <v>442</v>
      </c>
      <c r="B188" s="117">
        <f>25.62+45.92</f>
        <v>71.540000000000006</v>
      </c>
      <c r="C188" s="118" t="s">
        <v>443</v>
      </c>
      <c r="D188" s="118" t="s">
        <v>183</v>
      </c>
      <c r="E188" s="119"/>
      <c r="F188" s="145"/>
    </row>
    <row r="189" spans="1:6" s="2" customFormat="1" ht="15" customHeight="1" x14ac:dyDescent="0.25">
      <c r="A189" s="118"/>
      <c r="B189" s="118"/>
      <c r="C189" s="119"/>
      <c r="D189" s="118"/>
      <c r="E189" s="119"/>
      <c r="F189" s="1"/>
    </row>
    <row r="190" spans="1:6" s="2" customFormat="1" hidden="1" x14ac:dyDescent="0.25">
      <c r="A190" s="136"/>
      <c r="B190" s="107"/>
      <c r="C190" s="108"/>
      <c r="D190" s="108"/>
      <c r="E190" s="109"/>
      <c r="F190" s="1"/>
    </row>
    <row r="191" spans="1:6" ht="19.5" customHeight="1" x14ac:dyDescent="0.25">
      <c r="A191" s="134" t="s">
        <v>313</v>
      </c>
      <c r="B191" s="71">
        <f>SUM(B39:B190)</f>
        <v>27465.459999999988</v>
      </c>
      <c r="C191" s="127" t="str">
        <f>IF(SUBTOTAL(3,B39:B190)=SUBTOTAL(103,B39:B190),'Summary and sign-off'!$A$48,'Summary and sign-off'!$A$49)</f>
        <v>Check - there are no hidden rows with data</v>
      </c>
      <c r="D191" s="163" t="str">
        <f>IF('Summary and sign-off'!F56='Summary and sign-off'!F54,'Summary and sign-off'!A51,'Summary and sign-off'!A50)</f>
        <v>Check - each entry provides sufficient information</v>
      </c>
      <c r="E191" s="163"/>
      <c r="F191" s="17"/>
    </row>
    <row r="192" spans="1:6" ht="10.5" customHeight="1" x14ac:dyDescent="0.3">
      <c r="A192" s="135"/>
      <c r="B192" s="19"/>
      <c r="C192" s="17"/>
      <c r="D192" s="17"/>
      <c r="E192" s="17"/>
      <c r="F192" s="17"/>
    </row>
    <row r="193" spans="1:6" ht="24.75" customHeight="1" x14ac:dyDescent="0.25">
      <c r="A193" s="164" t="s">
        <v>314</v>
      </c>
      <c r="B193" s="164"/>
      <c r="C193" s="164"/>
      <c r="D193" s="164"/>
      <c r="E193" s="164"/>
      <c r="F193" s="17"/>
    </row>
    <row r="194" spans="1:6" ht="27" customHeight="1" x14ac:dyDescent="0.25">
      <c r="A194" s="110" t="s">
        <v>125</v>
      </c>
      <c r="B194" s="24" t="s">
        <v>70</v>
      </c>
      <c r="C194" s="24" t="s">
        <v>315</v>
      </c>
      <c r="D194" s="24" t="s">
        <v>316</v>
      </c>
      <c r="E194" s="24" t="s">
        <v>129</v>
      </c>
      <c r="F194" s="28"/>
    </row>
    <row r="195" spans="1:6" s="2" customFormat="1" hidden="1" x14ac:dyDescent="0.25">
      <c r="A195" s="130"/>
      <c r="B195" s="95"/>
      <c r="C195" s="96"/>
      <c r="D195" s="96"/>
      <c r="E195" s="97"/>
      <c r="F195" s="1"/>
    </row>
    <row r="196" spans="1:6" s="2" customFormat="1" ht="15.75" customHeight="1" x14ac:dyDescent="0.25">
      <c r="A196" s="131">
        <v>44760</v>
      </c>
      <c r="B196" s="117">
        <v>79.64</v>
      </c>
      <c r="C196" s="118" t="s">
        <v>470</v>
      </c>
      <c r="D196" s="118" t="s">
        <v>5</v>
      </c>
      <c r="E196" s="119" t="s">
        <v>2</v>
      </c>
      <c r="F196" s="1"/>
    </row>
    <row r="197" spans="1:6" s="2" customFormat="1" ht="15.75" customHeight="1" x14ac:dyDescent="0.25">
      <c r="A197" s="131">
        <v>44756</v>
      </c>
      <c r="B197" s="117">
        <f>(13.44+9.21)</f>
        <v>22.65</v>
      </c>
      <c r="C197" s="118" t="s">
        <v>469</v>
      </c>
      <c r="D197" s="128" t="s">
        <v>189</v>
      </c>
      <c r="E197" s="119" t="s">
        <v>2</v>
      </c>
      <c r="F197" s="1"/>
    </row>
    <row r="198" spans="1:6" s="2" customFormat="1" ht="15.75" customHeight="1" x14ac:dyDescent="0.25">
      <c r="A198" s="131">
        <v>44802</v>
      </c>
      <c r="B198" s="117">
        <f>7.32+7.82</f>
        <v>15.14</v>
      </c>
      <c r="C198" s="118" t="s">
        <v>317</v>
      </c>
      <c r="D198" s="118" t="s">
        <v>263</v>
      </c>
      <c r="E198" s="119" t="s">
        <v>2</v>
      </c>
      <c r="F198" s="1"/>
    </row>
    <row r="199" spans="1:6" s="2" customFormat="1" ht="15.75" customHeight="1" x14ac:dyDescent="0.25">
      <c r="A199" s="131">
        <v>44802</v>
      </c>
      <c r="B199" s="117">
        <v>7.44</v>
      </c>
      <c r="C199" s="118" t="s">
        <v>318</v>
      </c>
      <c r="D199" s="118" t="s">
        <v>319</v>
      </c>
      <c r="E199" s="119" t="s">
        <v>2</v>
      </c>
      <c r="F199" s="1"/>
    </row>
    <row r="200" spans="1:6" s="2" customFormat="1" ht="15.75" customHeight="1" x14ac:dyDescent="0.25">
      <c r="A200" s="131">
        <v>44804</v>
      </c>
      <c r="B200" s="117">
        <v>17.72</v>
      </c>
      <c r="C200" s="118" t="s">
        <v>320</v>
      </c>
      <c r="D200" s="118" t="s">
        <v>321</v>
      </c>
      <c r="E200" s="119" t="s">
        <v>2</v>
      </c>
      <c r="F200" s="1"/>
    </row>
    <row r="201" spans="1:6" s="2" customFormat="1" ht="15.75" customHeight="1" x14ac:dyDescent="0.25">
      <c r="A201" s="131">
        <v>44827</v>
      </c>
      <c r="B201" s="117">
        <f>9.22+6.3+7.43+12.03</f>
        <v>34.979999999999997</v>
      </c>
      <c r="C201" s="118" t="s">
        <v>322</v>
      </c>
      <c r="D201" s="118" t="s">
        <v>323</v>
      </c>
      <c r="E201" s="119" t="s">
        <v>6</v>
      </c>
      <c r="F201" s="1"/>
    </row>
    <row r="202" spans="1:6" s="2" customFormat="1" ht="15.75" customHeight="1" x14ac:dyDescent="0.25">
      <c r="A202" s="131">
        <v>44829</v>
      </c>
      <c r="B202" s="117">
        <v>19.79</v>
      </c>
      <c r="C202" s="118" t="s">
        <v>324</v>
      </c>
      <c r="D202" s="118" t="s">
        <v>5</v>
      </c>
      <c r="E202" s="119" t="s">
        <v>6</v>
      </c>
      <c r="F202" s="1"/>
    </row>
    <row r="203" spans="1:6" s="2" customFormat="1" ht="15.75" customHeight="1" x14ac:dyDescent="0.25">
      <c r="A203" s="131">
        <v>44831</v>
      </c>
      <c r="B203" s="117">
        <f>8.45+13.78</f>
        <v>22.229999999999997</v>
      </c>
      <c r="C203" s="118" t="s">
        <v>325</v>
      </c>
      <c r="D203" s="118" t="s">
        <v>189</v>
      </c>
      <c r="E203" s="119" t="s">
        <v>2</v>
      </c>
      <c r="F203" s="1"/>
    </row>
    <row r="204" spans="1:6" s="2" customFormat="1" ht="15.75" customHeight="1" x14ac:dyDescent="0.25">
      <c r="A204" s="131">
        <v>44842</v>
      </c>
      <c r="B204" s="117">
        <v>11.22</v>
      </c>
      <c r="C204" s="118" t="s">
        <v>472</v>
      </c>
      <c r="D204" s="118" t="s">
        <v>5</v>
      </c>
      <c r="E204" s="119" t="s">
        <v>6</v>
      </c>
      <c r="F204" s="1"/>
    </row>
    <row r="205" spans="1:6" s="2" customFormat="1" ht="15.75" customHeight="1" x14ac:dyDescent="0.25">
      <c r="A205" s="131">
        <v>44845</v>
      </c>
      <c r="B205" s="117">
        <f>66.93+21.61</f>
        <v>88.54</v>
      </c>
      <c r="C205" s="118" t="s">
        <v>326</v>
      </c>
      <c r="D205" s="118" t="s">
        <v>189</v>
      </c>
      <c r="E205" s="119" t="s">
        <v>2</v>
      </c>
      <c r="F205" s="1"/>
    </row>
    <row r="206" spans="1:6" s="2" customFormat="1" ht="15.75" customHeight="1" x14ac:dyDescent="0.25">
      <c r="A206" s="131">
        <v>44951</v>
      </c>
      <c r="B206" s="117">
        <v>6.58</v>
      </c>
      <c r="C206" s="118" t="s">
        <v>327</v>
      </c>
      <c r="D206" s="118" t="s">
        <v>5</v>
      </c>
      <c r="E206" s="119" t="s">
        <v>2</v>
      </c>
      <c r="F206" s="145"/>
    </row>
    <row r="207" spans="1:6" s="2" customFormat="1" ht="15.75" customHeight="1" x14ac:dyDescent="0.25">
      <c r="A207" s="131">
        <v>44965</v>
      </c>
      <c r="B207" s="117">
        <v>7.16</v>
      </c>
      <c r="C207" s="118" t="s">
        <v>328</v>
      </c>
      <c r="D207" s="118" t="s">
        <v>5</v>
      </c>
      <c r="E207" s="119" t="s">
        <v>2</v>
      </c>
      <c r="F207" s="145"/>
    </row>
    <row r="208" spans="1:6" s="2" customFormat="1" ht="15.75" customHeight="1" x14ac:dyDescent="0.25">
      <c r="A208" s="131">
        <v>44973</v>
      </c>
      <c r="B208" s="117">
        <v>10.75</v>
      </c>
      <c r="C208" s="118" t="s">
        <v>329</v>
      </c>
      <c r="D208" s="118" t="s">
        <v>5</v>
      </c>
      <c r="E208" s="119" t="s">
        <v>6</v>
      </c>
      <c r="F208" s="145"/>
    </row>
    <row r="209" spans="1:6" s="2" customFormat="1" ht="15.75" customHeight="1" x14ac:dyDescent="0.25">
      <c r="A209" s="131">
        <v>44977</v>
      </c>
      <c r="B209" s="117">
        <v>7.82</v>
      </c>
      <c r="C209" s="118" t="s">
        <v>330</v>
      </c>
      <c r="D209" s="118" t="s">
        <v>272</v>
      </c>
      <c r="E209" s="119" t="s">
        <v>6</v>
      </c>
      <c r="F209" s="145"/>
    </row>
    <row r="210" spans="1:6" s="2" customFormat="1" ht="15.75" customHeight="1" x14ac:dyDescent="0.25">
      <c r="A210" s="131">
        <v>44979</v>
      </c>
      <c r="B210" s="117">
        <v>10</v>
      </c>
      <c r="C210" s="118" t="s">
        <v>331</v>
      </c>
      <c r="D210" s="118" t="s">
        <v>5</v>
      </c>
      <c r="E210" s="119" t="s">
        <v>6</v>
      </c>
      <c r="F210" s="145"/>
    </row>
    <row r="211" spans="1:6" s="2" customFormat="1" ht="15.75" customHeight="1" x14ac:dyDescent="0.25">
      <c r="A211" s="131">
        <v>44984</v>
      </c>
      <c r="B211" s="117">
        <f>5.57+2.23</f>
        <v>7.8000000000000007</v>
      </c>
      <c r="C211" s="118" t="s">
        <v>332</v>
      </c>
      <c r="D211" s="118" t="s">
        <v>272</v>
      </c>
      <c r="E211" s="119" t="s">
        <v>6</v>
      </c>
      <c r="F211" s="145"/>
    </row>
    <row r="212" spans="1:6" s="2" customFormat="1" ht="15.75" customHeight="1" x14ac:dyDescent="0.25">
      <c r="A212" s="131">
        <v>44993</v>
      </c>
      <c r="B212" s="117">
        <v>15.7</v>
      </c>
      <c r="C212" s="118" t="s">
        <v>333</v>
      </c>
      <c r="D212" s="118" t="s">
        <v>5</v>
      </c>
      <c r="E212" s="119" t="s">
        <v>2</v>
      </c>
      <c r="F212" s="145"/>
    </row>
    <row r="213" spans="1:6" s="2" customFormat="1" ht="15.75" customHeight="1" x14ac:dyDescent="0.25">
      <c r="A213" s="131">
        <v>44998</v>
      </c>
      <c r="B213" s="117">
        <v>20.18</v>
      </c>
      <c r="C213" s="118" t="s">
        <v>334</v>
      </c>
      <c r="D213" s="118" t="s">
        <v>5</v>
      </c>
      <c r="E213" s="119" t="s">
        <v>2</v>
      </c>
      <c r="F213" s="145"/>
    </row>
    <row r="214" spans="1:6" s="2" customFormat="1" ht="15.75" customHeight="1" x14ac:dyDescent="0.25">
      <c r="A214" s="131">
        <v>45013</v>
      </c>
      <c r="B214" s="117">
        <f>52.78+51.99</f>
        <v>104.77000000000001</v>
      </c>
      <c r="C214" s="118" t="s">
        <v>335</v>
      </c>
      <c r="D214" s="118" t="s">
        <v>336</v>
      </c>
      <c r="E214" s="119" t="s">
        <v>2</v>
      </c>
      <c r="F214" s="145"/>
    </row>
    <row r="215" spans="1:6" s="2" customFormat="1" ht="15.75" customHeight="1" x14ac:dyDescent="0.25">
      <c r="A215" s="131">
        <v>45037</v>
      </c>
      <c r="B215" s="117">
        <v>16.32</v>
      </c>
      <c r="C215" s="118" t="s">
        <v>468</v>
      </c>
      <c r="D215" s="118" t="s">
        <v>5</v>
      </c>
      <c r="E215" s="119" t="s">
        <v>6</v>
      </c>
      <c r="F215" s="145"/>
    </row>
    <row r="216" spans="1:6" s="2" customFormat="1" ht="15.75" customHeight="1" x14ac:dyDescent="0.25">
      <c r="A216" s="131">
        <v>45069</v>
      </c>
      <c r="B216" s="117">
        <v>15.59</v>
      </c>
      <c r="C216" s="118" t="s">
        <v>471</v>
      </c>
      <c r="D216" s="118" t="s">
        <v>319</v>
      </c>
      <c r="E216" s="119" t="s">
        <v>2</v>
      </c>
      <c r="F216" s="145"/>
    </row>
    <row r="217" spans="1:6" s="2" customFormat="1" ht="15.75" customHeight="1" x14ac:dyDescent="0.25">
      <c r="A217" s="131">
        <v>45063</v>
      </c>
      <c r="B217" s="117">
        <v>9.42</v>
      </c>
      <c r="C217" s="118" t="s">
        <v>337</v>
      </c>
      <c r="D217" s="118" t="s">
        <v>321</v>
      </c>
      <c r="E217" s="119" t="s">
        <v>2</v>
      </c>
      <c r="F217" s="145"/>
    </row>
    <row r="218" spans="1:6" s="2" customFormat="1" ht="15.75" customHeight="1" x14ac:dyDescent="0.35">
      <c r="A218" s="131">
        <v>45084</v>
      </c>
      <c r="B218" s="117">
        <f>(7.51+8.78)</f>
        <v>16.29</v>
      </c>
      <c r="C218" s="118" t="s">
        <v>333</v>
      </c>
      <c r="D218" s="118" t="s">
        <v>5</v>
      </c>
      <c r="E218" s="119" t="s">
        <v>2</v>
      </c>
      <c r="F218" s="149"/>
    </row>
    <row r="219" spans="1:6" s="2" customFormat="1" ht="15.75" customHeight="1" x14ac:dyDescent="0.25">
      <c r="A219" s="131">
        <v>45090</v>
      </c>
      <c r="B219" s="153">
        <f>(10.39+11.16)</f>
        <v>21.55</v>
      </c>
      <c r="C219" s="118" t="s">
        <v>338</v>
      </c>
      <c r="D219" s="118" t="s">
        <v>189</v>
      </c>
      <c r="E219" s="119" t="s">
        <v>2</v>
      </c>
      <c r="F219" s="1"/>
    </row>
    <row r="220" spans="1:6" s="2" customFormat="1" hidden="1" x14ac:dyDescent="0.25">
      <c r="A220" s="130"/>
      <c r="B220" s="95"/>
      <c r="C220" s="96"/>
      <c r="D220" s="96"/>
      <c r="E220" s="97"/>
      <c r="F220" s="1"/>
    </row>
    <row r="221" spans="1:6" ht="19.5" customHeight="1" x14ac:dyDescent="0.25">
      <c r="A221" s="134" t="s">
        <v>339</v>
      </c>
      <c r="B221" s="71">
        <f>SUM(B195:B220)</f>
        <v>589.28</v>
      </c>
      <c r="C221" s="127" t="str">
        <f>IF(SUBTOTAL(3,B195:B220)=SUBTOTAL(103,B195:B220),'Summary and sign-off'!$A$48,'Summary and sign-off'!$A$49)</f>
        <v>Check - there are no hidden rows with data</v>
      </c>
      <c r="D221" s="163" t="str">
        <f>IF('Summary and sign-off'!F57='Summary and sign-off'!F54,'Summary and sign-off'!A51,'Summary and sign-off'!A50)</f>
        <v>Check - each entry provides sufficient information</v>
      </c>
      <c r="E221" s="163"/>
      <c r="F221" s="17"/>
    </row>
    <row r="222" spans="1:6" ht="10.5" customHeight="1" x14ac:dyDescent="0.3">
      <c r="A222" s="135"/>
      <c r="B222" s="57"/>
      <c r="C222" s="19"/>
      <c r="D222" s="17"/>
      <c r="E222" s="17"/>
      <c r="F222" s="17"/>
    </row>
    <row r="223" spans="1:6" ht="34.5" customHeight="1" x14ac:dyDescent="0.25">
      <c r="A223" s="137" t="s">
        <v>340</v>
      </c>
      <c r="B223" s="58">
        <f>B35+B191+B221</f>
        <v>62199.289999999994</v>
      </c>
      <c r="C223" s="31"/>
      <c r="D223" s="31"/>
      <c r="E223" s="31"/>
      <c r="F223" s="17"/>
    </row>
    <row r="224" spans="1:6" ht="13" x14ac:dyDescent="0.3">
      <c r="A224" s="135"/>
      <c r="B224" s="19"/>
      <c r="C224" s="17"/>
      <c r="D224" s="17"/>
      <c r="E224" s="17"/>
      <c r="F224" s="17"/>
    </row>
    <row r="225" spans="1:6" ht="13" x14ac:dyDescent="0.3">
      <c r="A225" s="138" t="s">
        <v>81</v>
      </c>
      <c r="B225" s="19"/>
      <c r="C225" s="17"/>
      <c r="D225" s="17"/>
      <c r="E225" s="17"/>
      <c r="F225" s="17"/>
    </row>
    <row r="226" spans="1:6" ht="12.75" customHeight="1" x14ac:dyDescent="0.25">
      <c r="A226" s="139" t="s">
        <v>341</v>
      </c>
      <c r="F226" s="17"/>
    </row>
    <row r="227" spans="1:6" ht="13.15" customHeight="1" x14ac:dyDescent="0.25">
      <c r="A227" s="139" t="s">
        <v>342</v>
      </c>
      <c r="B227" s="17"/>
      <c r="D227" s="17"/>
      <c r="F227" s="17"/>
    </row>
    <row r="228" spans="1:6" x14ac:dyDescent="0.25">
      <c r="A228" s="139" t="s">
        <v>343</v>
      </c>
      <c r="F228" s="17"/>
    </row>
    <row r="229" spans="1:6" ht="13" x14ac:dyDescent="0.3">
      <c r="A229" s="139" t="s">
        <v>87</v>
      </c>
      <c r="B229" s="19"/>
      <c r="C229" s="17"/>
      <c r="D229" s="17"/>
      <c r="E229" s="17"/>
      <c r="F229" s="17"/>
    </row>
    <row r="230" spans="1:6" ht="13.15" customHeight="1" x14ac:dyDescent="0.25">
      <c r="A230" s="139" t="s">
        <v>344</v>
      </c>
      <c r="B230" s="17"/>
      <c r="D230" s="17"/>
      <c r="F230" s="17"/>
    </row>
    <row r="231" spans="1:6" x14ac:dyDescent="0.25">
      <c r="A231" s="139" t="s">
        <v>345</v>
      </c>
      <c r="F231" s="17"/>
    </row>
    <row r="232" spans="1:6" x14ac:dyDescent="0.25">
      <c r="A232" s="139" t="s">
        <v>346</v>
      </c>
      <c r="B232" s="20"/>
      <c r="C232" s="20"/>
      <c r="D232" s="20"/>
      <c r="F232" s="17"/>
    </row>
    <row r="233" spans="1:6" x14ac:dyDescent="0.25">
      <c r="A233" s="140"/>
      <c r="B233" s="17"/>
      <c r="C233" s="17"/>
      <c r="D233" s="17"/>
      <c r="E233" s="17"/>
      <c r="F233" s="17"/>
    </row>
    <row r="234" spans="1:6" hidden="1" x14ac:dyDescent="0.25">
      <c r="A234" s="140"/>
      <c r="B234" s="17"/>
      <c r="C234" s="17"/>
      <c r="D234" s="17"/>
      <c r="E234" s="17"/>
      <c r="F234" s="17"/>
    </row>
    <row r="235" spans="1:6" x14ac:dyDescent="0.25"/>
    <row r="236" spans="1:6" x14ac:dyDescent="0.25"/>
    <row r="237" spans="1:6" x14ac:dyDescent="0.25"/>
    <row r="238" spans="1:6" x14ac:dyDescent="0.25"/>
    <row r="239" spans="1:6" ht="12.75" hidden="1" customHeight="1" x14ac:dyDescent="0.25"/>
    <row r="240" spans="1:6" x14ac:dyDescent="0.25"/>
    <row r="241" spans="1:6" x14ac:dyDescent="0.25"/>
    <row r="242" spans="1:6" hidden="1" x14ac:dyDescent="0.25">
      <c r="A242" s="140"/>
      <c r="B242" s="17"/>
      <c r="C242" s="17"/>
      <c r="D242" s="17"/>
      <c r="E242" s="17"/>
      <c r="F242" s="17"/>
    </row>
    <row r="243" spans="1:6" hidden="1" x14ac:dyDescent="0.25">
      <c r="A243" s="140"/>
      <c r="B243" s="17"/>
      <c r="C243" s="17"/>
      <c r="D243" s="17"/>
      <c r="E243" s="17"/>
      <c r="F243" s="17"/>
    </row>
    <row r="244" spans="1:6" hidden="1" x14ac:dyDescent="0.25">
      <c r="A244" s="140"/>
      <c r="B244" s="17"/>
      <c r="C244" s="17"/>
      <c r="D244" s="17"/>
      <c r="E244" s="17"/>
      <c r="F244" s="17"/>
    </row>
    <row r="245" spans="1:6" hidden="1" x14ac:dyDescent="0.25">
      <c r="A245" s="140"/>
      <c r="B245" s="17"/>
      <c r="C245" s="17"/>
      <c r="D245" s="17"/>
      <c r="E245" s="17"/>
      <c r="F245" s="17"/>
    </row>
    <row r="246" spans="1:6" hidden="1" x14ac:dyDescent="0.25">
      <c r="A246" s="140"/>
      <c r="B246" s="17"/>
      <c r="C246" s="17"/>
      <c r="D246" s="17"/>
      <c r="E246" s="17"/>
      <c r="F246" s="17"/>
    </row>
    <row r="247" spans="1:6" x14ac:dyDescent="0.25"/>
    <row r="248" spans="1:6" x14ac:dyDescent="0.25"/>
    <row r="249" spans="1:6" x14ac:dyDescent="0.25"/>
    <row r="250" spans="1:6" x14ac:dyDescent="0.25"/>
    <row r="251" spans="1:6" x14ac:dyDescent="0.25"/>
    <row r="252" spans="1:6" x14ac:dyDescent="0.25"/>
    <row r="253" spans="1:6" x14ac:dyDescent="0.25"/>
    <row r="254" spans="1:6" x14ac:dyDescent="0.25"/>
    <row r="255" spans="1:6" x14ac:dyDescent="0.25"/>
    <row r="256" spans="1: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sheetData>
  <sheetProtection sheet="1" formatCells="0" formatRows="0" insertColumns="0" insertRows="0" deleteRows="0"/>
  <mergeCells count="15">
    <mergeCell ref="B7:E7"/>
    <mergeCell ref="B5:E5"/>
    <mergeCell ref="D221:E221"/>
    <mergeCell ref="A1:E1"/>
    <mergeCell ref="A37:E37"/>
    <mergeCell ref="A193:E193"/>
    <mergeCell ref="B2:E2"/>
    <mergeCell ref="B3:E3"/>
    <mergeCell ref="B4:E4"/>
    <mergeCell ref="A8:E8"/>
    <mergeCell ref="A9:E9"/>
    <mergeCell ref="B6:E6"/>
    <mergeCell ref="D35:E35"/>
    <mergeCell ref="D191:E191"/>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2 A34 A220 A190 A195:A197 A39 A17 A18:A20"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94 A38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98:A219 A40:A189 A13:A17 A18:A33"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B195:B220 B12:B34 B39:B190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5"/>
  <sheetViews>
    <sheetView zoomScaleNormal="100" workbookViewId="0">
      <selection activeCell="C23" sqref="C23"/>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9.26953125" customWidth="1"/>
    <col min="7" max="10" width="9.1796875" hidden="1" customWidth="1"/>
    <col min="11" max="13" width="0" hidden="1" customWidth="1"/>
  </cols>
  <sheetData>
    <row r="1" spans="1:6" ht="26.25" customHeight="1" x14ac:dyDescent="0.25">
      <c r="A1" s="159" t="s">
        <v>117</v>
      </c>
      <c r="B1" s="159"/>
      <c r="C1" s="159"/>
      <c r="D1" s="159"/>
      <c r="E1" s="159"/>
    </row>
    <row r="2" spans="1:6" ht="21" customHeight="1" x14ac:dyDescent="0.25">
      <c r="A2" s="3" t="s">
        <v>57</v>
      </c>
      <c r="B2" s="162" t="str">
        <f>'Summary and sign-off'!B2:F2</f>
        <v>Sport NZ Group</v>
      </c>
      <c r="C2" s="162"/>
      <c r="D2" s="162"/>
      <c r="E2" s="162"/>
    </row>
    <row r="3" spans="1:6" ht="21" customHeight="1" x14ac:dyDescent="0.25">
      <c r="A3" s="3" t="s">
        <v>118</v>
      </c>
      <c r="B3" s="162" t="str">
        <f>'Summary and sign-off'!B3:F3</f>
        <v>Raelene Castle</v>
      </c>
      <c r="C3" s="162"/>
      <c r="D3" s="162"/>
      <c r="E3" s="162"/>
    </row>
    <row r="4" spans="1:6" ht="21" customHeight="1" x14ac:dyDescent="0.25">
      <c r="A4" s="3" t="s">
        <v>119</v>
      </c>
      <c r="B4" s="162">
        <f>'Summary and sign-off'!B4:F4</f>
        <v>44743</v>
      </c>
      <c r="C4" s="162"/>
      <c r="D4" s="162"/>
      <c r="E4" s="162"/>
    </row>
    <row r="5" spans="1:6" ht="21" customHeight="1" x14ac:dyDescent="0.25">
      <c r="A5" s="3" t="s">
        <v>120</v>
      </c>
      <c r="B5" s="162">
        <f>'Summary and sign-off'!B5:F5</f>
        <v>45107</v>
      </c>
      <c r="C5" s="162"/>
      <c r="D5" s="162"/>
      <c r="E5" s="162"/>
    </row>
    <row r="6" spans="1:6" ht="21" customHeight="1" x14ac:dyDescent="0.25">
      <c r="A6" s="3" t="s">
        <v>121</v>
      </c>
      <c r="B6" s="157" t="s">
        <v>89</v>
      </c>
      <c r="C6" s="157"/>
      <c r="D6" s="157"/>
      <c r="E6" s="157"/>
    </row>
    <row r="7" spans="1:6" ht="21" customHeight="1" x14ac:dyDescent="0.25">
      <c r="A7" s="3" t="s">
        <v>63</v>
      </c>
      <c r="B7" s="157" t="s">
        <v>91</v>
      </c>
      <c r="C7" s="157"/>
      <c r="D7" s="157"/>
      <c r="E7" s="157"/>
    </row>
    <row r="8" spans="1:6" ht="35.25" customHeight="1" x14ac:dyDescent="0.35">
      <c r="A8" s="172" t="s">
        <v>347</v>
      </c>
      <c r="B8" s="172"/>
      <c r="C8" s="173"/>
      <c r="D8" s="173"/>
      <c r="E8" s="173"/>
      <c r="F8" s="27"/>
    </row>
    <row r="9" spans="1:6" ht="35.25" customHeight="1" x14ac:dyDescent="0.35">
      <c r="A9" s="170" t="s">
        <v>348</v>
      </c>
      <c r="B9" s="171"/>
      <c r="C9" s="171"/>
      <c r="D9" s="171"/>
      <c r="E9" s="171"/>
      <c r="F9" s="27"/>
    </row>
    <row r="10" spans="1:6" ht="27" customHeight="1" x14ac:dyDescent="0.25">
      <c r="A10" s="24" t="s">
        <v>349</v>
      </c>
      <c r="B10" s="24" t="s">
        <v>70</v>
      </c>
      <c r="C10" s="24" t="s">
        <v>350</v>
      </c>
      <c r="D10" s="24" t="s">
        <v>351</v>
      </c>
      <c r="E10" s="24" t="s">
        <v>129</v>
      </c>
      <c r="F10" s="20"/>
    </row>
    <row r="11" spans="1:6" s="2" customFormat="1" hidden="1" x14ac:dyDescent="0.25">
      <c r="A11" s="98"/>
      <c r="B11" s="95"/>
      <c r="C11" s="99"/>
      <c r="D11" s="99"/>
      <c r="E11" s="100"/>
      <c r="F11" s="143"/>
    </row>
    <row r="12" spans="1:6" s="2" customFormat="1" x14ac:dyDescent="0.25">
      <c r="A12" s="116">
        <v>44861</v>
      </c>
      <c r="B12" s="117">
        <v>44.6</v>
      </c>
      <c r="C12" s="121" t="s">
        <v>352</v>
      </c>
      <c r="D12" s="121" t="s">
        <v>353</v>
      </c>
      <c r="E12" s="122" t="s">
        <v>6</v>
      </c>
      <c r="F12" s="143"/>
    </row>
    <row r="13" spans="1:6" s="2" customFormat="1" x14ac:dyDescent="0.25">
      <c r="A13" s="116">
        <v>44880</v>
      </c>
      <c r="B13" s="117">
        <v>112.89</v>
      </c>
      <c r="C13" s="121" t="s">
        <v>354</v>
      </c>
      <c r="D13" s="121" t="s">
        <v>355</v>
      </c>
      <c r="E13" s="122" t="s">
        <v>6</v>
      </c>
      <c r="F13" s="145"/>
    </row>
    <row r="14" spans="1:6" s="2" customFormat="1" x14ac:dyDescent="0.25">
      <c r="A14" s="116">
        <v>44881</v>
      </c>
      <c r="B14" s="117">
        <v>212.17</v>
      </c>
      <c r="C14" s="154" t="s">
        <v>440</v>
      </c>
      <c r="D14" s="121" t="s">
        <v>4</v>
      </c>
      <c r="E14" s="122" t="s">
        <v>6</v>
      </c>
      <c r="F14" s="145"/>
    </row>
    <row r="15" spans="1:6" s="2" customFormat="1" x14ac:dyDescent="0.25">
      <c r="A15" s="116">
        <v>44895</v>
      </c>
      <c r="B15" s="117">
        <v>89.13</v>
      </c>
      <c r="C15" s="121" t="s">
        <v>356</v>
      </c>
      <c r="D15" s="121" t="s">
        <v>357</v>
      </c>
      <c r="E15" s="122" t="s">
        <v>158</v>
      </c>
      <c r="F15" s="145"/>
    </row>
    <row r="16" spans="1:6" s="2" customFormat="1" x14ac:dyDescent="0.25">
      <c r="A16" s="116">
        <v>44966</v>
      </c>
      <c r="B16" s="117">
        <v>35.21</v>
      </c>
      <c r="C16" s="121" t="s">
        <v>358</v>
      </c>
      <c r="D16" s="121" t="s">
        <v>353</v>
      </c>
      <c r="E16" s="122" t="s">
        <v>6</v>
      </c>
      <c r="F16" s="145"/>
    </row>
    <row r="17" spans="1:6" s="2" customFormat="1" x14ac:dyDescent="0.25">
      <c r="A17" s="116">
        <v>44979</v>
      </c>
      <c r="B17" s="117">
        <v>495.42</v>
      </c>
      <c r="C17" s="121" t="s">
        <v>359</v>
      </c>
      <c r="D17" s="121" t="s">
        <v>360</v>
      </c>
      <c r="E17" s="122" t="s">
        <v>6</v>
      </c>
      <c r="F17" s="145"/>
    </row>
    <row r="18" spans="1:6" s="2" customFormat="1" x14ac:dyDescent="0.25">
      <c r="A18" s="116">
        <v>44999</v>
      </c>
      <c r="B18" s="117">
        <v>24.35</v>
      </c>
      <c r="C18" s="121" t="s">
        <v>361</v>
      </c>
      <c r="D18" s="121" t="s">
        <v>3</v>
      </c>
      <c r="E18" s="122" t="s">
        <v>2</v>
      </c>
      <c r="F18" s="145"/>
    </row>
    <row r="19" spans="1:6" s="2" customFormat="1" x14ac:dyDescent="0.25">
      <c r="A19" s="116">
        <v>45049</v>
      </c>
      <c r="B19" s="117">
        <v>48.8</v>
      </c>
      <c r="C19" s="121" t="s">
        <v>362</v>
      </c>
      <c r="D19" s="121" t="s">
        <v>353</v>
      </c>
      <c r="E19" s="122" t="s">
        <v>2</v>
      </c>
      <c r="F19" s="145"/>
    </row>
    <row r="20" spans="1:6" s="2" customFormat="1" x14ac:dyDescent="0.25">
      <c r="A20" s="116">
        <v>45058</v>
      </c>
      <c r="B20" s="117">
        <f>182.61+81.41</f>
        <v>264.02</v>
      </c>
      <c r="C20" s="121" t="s">
        <v>363</v>
      </c>
      <c r="D20" s="121" t="s">
        <v>364</v>
      </c>
      <c r="E20" s="122" t="s">
        <v>6</v>
      </c>
      <c r="F20" s="145"/>
    </row>
    <row r="21" spans="1:6" s="2" customFormat="1" x14ac:dyDescent="0.25">
      <c r="A21" s="116">
        <v>45085</v>
      </c>
      <c r="B21" s="117">
        <f>50.46</f>
        <v>50.46</v>
      </c>
      <c r="C21" s="121" t="s">
        <v>445</v>
      </c>
      <c r="D21" s="121" t="s">
        <v>353</v>
      </c>
      <c r="E21" s="122" t="s">
        <v>6</v>
      </c>
      <c r="F21" s="145"/>
    </row>
    <row r="22" spans="1:6" s="2" customFormat="1" x14ac:dyDescent="0.25">
      <c r="A22" s="116">
        <v>45089</v>
      </c>
      <c r="B22" s="117">
        <v>39.65</v>
      </c>
      <c r="C22" s="121" t="s">
        <v>446</v>
      </c>
      <c r="D22" s="121" t="s">
        <v>3</v>
      </c>
      <c r="E22" s="122" t="s">
        <v>6</v>
      </c>
      <c r="F22" s="145"/>
    </row>
    <row r="23" spans="1:6" s="2" customFormat="1" x14ac:dyDescent="0.25">
      <c r="A23" s="120">
        <v>45099</v>
      </c>
      <c r="B23" s="117">
        <v>1119.57</v>
      </c>
      <c r="C23" s="121" t="s">
        <v>448</v>
      </c>
      <c r="D23" s="121" t="s">
        <v>447</v>
      </c>
      <c r="E23" s="122" t="s">
        <v>6</v>
      </c>
      <c r="F23" s="145"/>
    </row>
    <row r="24" spans="1:6" s="2" customFormat="1" x14ac:dyDescent="0.25">
      <c r="A24" s="120">
        <v>45099</v>
      </c>
      <c r="B24" s="117">
        <v>180</v>
      </c>
      <c r="C24" s="121" t="s">
        <v>449</v>
      </c>
      <c r="D24" s="121" t="s">
        <v>450</v>
      </c>
      <c r="E24" s="122" t="s">
        <v>6</v>
      </c>
      <c r="F24" s="145"/>
    </row>
    <row r="25" spans="1:6" s="2" customFormat="1" ht="11.25" hidden="1" customHeight="1" x14ac:dyDescent="0.25">
      <c r="A25" s="98"/>
      <c r="B25" s="95"/>
      <c r="C25" s="99"/>
      <c r="D25" s="99"/>
      <c r="E25" s="100"/>
    </row>
    <row r="26" spans="1:6" ht="34.5" customHeight="1" x14ac:dyDescent="0.25">
      <c r="A26" s="53" t="s">
        <v>365</v>
      </c>
      <c r="B26" s="62">
        <f>SUM(B11:B25)</f>
        <v>2716.27</v>
      </c>
      <c r="C26" s="70" t="str">
        <f>IF(SUBTOTAL(3,B11:B25)=SUBTOTAL(103,B11:B25),'Summary and sign-off'!$A$48,'Summary and sign-off'!$A$49)</f>
        <v>Check - there are no hidden rows with data</v>
      </c>
      <c r="D26" s="163" t="str">
        <f>IF('Summary and sign-off'!F58='Summary and sign-off'!F54,'Summary and sign-off'!A51,'Summary and sign-off'!A50)</f>
        <v>Check - each entry provides sufficient information</v>
      </c>
      <c r="E26" s="163"/>
      <c r="F26" s="2"/>
    </row>
    <row r="27" spans="1:6" ht="13" x14ac:dyDescent="0.3">
      <c r="A27" s="18"/>
      <c r="B27" s="17"/>
      <c r="C27" s="17"/>
      <c r="D27" s="17"/>
      <c r="E27" s="17"/>
    </row>
    <row r="28" spans="1:6" ht="13" x14ac:dyDescent="0.3">
      <c r="A28" s="18" t="s">
        <v>81</v>
      </c>
      <c r="B28" s="19"/>
      <c r="C28" s="17"/>
      <c r="D28" s="17"/>
      <c r="E28" s="17"/>
    </row>
    <row r="29" spans="1:6" ht="12.75" customHeight="1" x14ac:dyDescent="0.25">
      <c r="A29" s="20" t="s">
        <v>366</v>
      </c>
      <c r="B29" s="20"/>
      <c r="C29" s="20"/>
      <c r="D29" s="20"/>
      <c r="E29" s="20"/>
    </row>
    <row r="30" spans="1:6" x14ac:dyDescent="0.25">
      <c r="A30" s="20" t="s">
        <v>367</v>
      </c>
      <c r="B30" s="20"/>
      <c r="C30" s="28"/>
      <c r="D30" s="28"/>
      <c r="E30" s="28"/>
    </row>
    <row r="31" spans="1:6" ht="13" x14ac:dyDescent="0.3">
      <c r="A31" s="20" t="s">
        <v>87</v>
      </c>
      <c r="B31" s="19"/>
      <c r="C31" s="17"/>
      <c r="D31" s="17"/>
      <c r="E31" s="17"/>
      <c r="F31" s="17"/>
    </row>
    <row r="32" spans="1:6" x14ac:dyDescent="0.25">
      <c r="A32" s="20" t="s">
        <v>368</v>
      </c>
      <c r="B32" s="20"/>
      <c r="C32" s="28"/>
      <c r="D32" s="28"/>
      <c r="E32" s="28"/>
    </row>
    <row r="33" spans="1:5" ht="12.75" customHeight="1" x14ac:dyDescent="0.25">
      <c r="A33" s="20" t="s">
        <v>369</v>
      </c>
      <c r="B33" s="20"/>
      <c r="C33" s="22"/>
      <c r="D33" s="22"/>
      <c r="E33" s="22"/>
    </row>
    <row r="34" spans="1:5" x14ac:dyDescent="0.25">
      <c r="A34" s="17"/>
      <c r="B34" s="17"/>
      <c r="C34" s="17"/>
      <c r="D34" s="17"/>
      <c r="E34" s="17"/>
    </row>
    <row r="35" spans="1:5" x14ac:dyDescent="0.25"/>
  </sheetData>
  <sheetProtection sheet="1" formatCells="0" insertRows="0" deleteRows="0"/>
  <mergeCells count="10">
    <mergeCell ref="D26:E26"/>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5"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A14 A15 A16 A17 A18 A19 A20 A21 A22 A23 A24"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activeCell="B12" sqref="B12"/>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6.81640625" customWidth="1"/>
    <col min="7" max="10" width="9.1796875" hidden="1" customWidth="1"/>
    <col min="11" max="13" width="0" hidden="1" customWidth="1"/>
    <col min="14" max="16384" width="9.1796875" hidden="1"/>
  </cols>
  <sheetData>
    <row r="1" spans="1:6" ht="26.25" customHeight="1" x14ac:dyDescent="0.25">
      <c r="A1" s="159" t="s">
        <v>117</v>
      </c>
      <c r="B1" s="159"/>
      <c r="C1" s="159"/>
      <c r="D1" s="159"/>
      <c r="E1" s="159"/>
    </row>
    <row r="2" spans="1:6" ht="21" customHeight="1" x14ac:dyDescent="0.25">
      <c r="A2" s="3" t="s">
        <v>57</v>
      </c>
      <c r="B2" s="162" t="str">
        <f>'Summary and sign-off'!B2:F2</f>
        <v>Sport NZ Group</v>
      </c>
      <c r="C2" s="162"/>
      <c r="D2" s="162"/>
      <c r="E2" s="162"/>
    </row>
    <row r="3" spans="1:6" ht="21" customHeight="1" x14ac:dyDescent="0.25">
      <c r="A3" s="3" t="s">
        <v>118</v>
      </c>
      <c r="B3" s="162" t="str">
        <f>'Summary and sign-off'!B3:F3</f>
        <v>Raelene Castle</v>
      </c>
      <c r="C3" s="162"/>
      <c r="D3" s="162"/>
      <c r="E3" s="162"/>
    </row>
    <row r="4" spans="1:6" ht="21" customHeight="1" x14ac:dyDescent="0.25">
      <c r="A4" s="3" t="s">
        <v>119</v>
      </c>
      <c r="B4" s="162">
        <f>'Summary and sign-off'!B4:F4</f>
        <v>44743</v>
      </c>
      <c r="C4" s="162"/>
      <c r="D4" s="162"/>
      <c r="E4" s="162"/>
    </row>
    <row r="5" spans="1:6" ht="21" customHeight="1" x14ac:dyDescent="0.25">
      <c r="A5" s="3" t="s">
        <v>120</v>
      </c>
      <c r="B5" s="162">
        <f>'Summary and sign-off'!B5:F5</f>
        <v>45107</v>
      </c>
      <c r="C5" s="162"/>
      <c r="D5" s="162"/>
      <c r="E5" s="162"/>
    </row>
    <row r="6" spans="1:6" ht="21" customHeight="1" x14ac:dyDescent="0.25">
      <c r="A6" s="3" t="s">
        <v>121</v>
      </c>
      <c r="B6" s="157" t="s">
        <v>89</v>
      </c>
      <c r="C6" s="157"/>
      <c r="D6" s="157"/>
      <c r="E6" s="157"/>
      <c r="F6" s="23"/>
    </row>
    <row r="7" spans="1:6" ht="21" customHeight="1" x14ac:dyDescent="0.25">
      <c r="A7" s="3" t="s">
        <v>63</v>
      </c>
      <c r="B7" s="157" t="s">
        <v>91</v>
      </c>
      <c r="C7" s="157"/>
      <c r="D7" s="157"/>
      <c r="E7" s="157"/>
      <c r="F7" s="23"/>
    </row>
    <row r="8" spans="1:6" ht="35.25" customHeight="1" x14ac:dyDescent="0.25">
      <c r="A8" s="166" t="s">
        <v>370</v>
      </c>
      <c r="B8" s="166"/>
      <c r="C8" s="173"/>
      <c r="D8" s="173"/>
      <c r="E8" s="173"/>
    </row>
    <row r="9" spans="1:6" ht="35.25" customHeight="1" x14ac:dyDescent="0.25">
      <c r="A9" s="174" t="s">
        <v>371</v>
      </c>
      <c r="B9" s="175"/>
      <c r="C9" s="175"/>
      <c r="D9" s="175"/>
      <c r="E9" s="175"/>
    </row>
    <row r="10" spans="1:6" ht="27" customHeight="1" x14ac:dyDescent="0.25">
      <c r="A10" s="24" t="s">
        <v>125</v>
      </c>
      <c r="B10" s="24" t="s">
        <v>70</v>
      </c>
      <c r="C10" s="24" t="s">
        <v>372</v>
      </c>
      <c r="D10" s="24" t="s">
        <v>373</v>
      </c>
      <c r="E10" s="24" t="s">
        <v>129</v>
      </c>
      <c r="F10" s="20"/>
    </row>
    <row r="11" spans="1:6" s="2" customFormat="1" hidden="1" x14ac:dyDescent="0.25">
      <c r="A11" s="98"/>
      <c r="B11" s="95"/>
      <c r="C11" s="99"/>
      <c r="D11" s="99"/>
      <c r="E11" s="100"/>
    </row>
    <row r="12" spans="1:6" s="2" customFormat="1" x14ac:dyDescent="0.25">
      <c r="A12" s="116" t="s">
        <v>483</v>
      </c>
      <c r="B12" s="117">
        <v>470.34</v>
      </c>
      <c r="C12" s="121" t="s">
        <v>485</v>
      </c>
      <c r="D12" s="121" t="s">
        <v>484</v>
      </c>
      <c r="E12" s="122"/>
    </row>
    <row r="13" spans="1:6" s="2" customFormat="1" x14ac:dyDescent="0.25">
      <c r="A13" s="116"/>
      <c r="B13" s="117"/>
      <c r="C13" s="121"/>
      <c r="D13" s="121"/>
      <c r="E13" s="122"/>
    </row>
    <row r="14" spans="1:6" s="2" customFormat="1" x14ac:dyDescent="0.25">
      <c r="A14" s="116"/>
      <c r="B14" s="117"/>
      <c r="C14" s="121"/>
      <c r="D14" s="121"/>
      <c r="E14" s="122"/>
    </row>
    <row r="15" spans="1:6" s="2" customFormat="1" x14ac:dyDescent="0.25">
      <c r="A15" s="116"/>
      <c r="B15" s="117"/>
      <c r="C15" s="121"/>
      <c r="D15" s="121"/>
      <c r="E15" s="122"/>
    </row>
    <row r="16" spans="1:6" s="2" customFormat="1" x14ac:dyDescent="0.25">
      <c r="A16" s="116"/>
      <c r="B16" s="117"/>
      <c r="C16" s="121"/>
      <c r="D16" s="121"/>
      <c r="E16" s="122"/>
    </row>
    <row r="17" spans="1:6" s="2" customFormat="1" x14ac:dyDescent="0.25">
      <c r="A17" s="116"/>
      <c r="B17" s="117"/>
      <c r="C17" s="121"/>
      <c r="D17" s="121"/>
      <c r="E17" s="122"/>
    </row>
    <row r="18" spans="1:6" s="2" customFormat="1" x14ac:dyDescent="0.25">
      <c r="A18" s="116"/>
      <c r="B18" s="117"/>
      <c r="C18" s="121"/>
      <c r="D18" s="121"/>
      <c r="E18" s="122"/>
    </row>
    <row r="19" spans="1:6" s="2" customFormat="1" x14ac:dyDescent="0.25">
      <c r="A19" s="116"/>
      <c r="B19" s="117"/>
      <c r="C19" s="121"/>
      <c r="D19" s="121"/>
      <c r="E19" s="122"/>
    </row>
    <row r="20" spans="1:6" s="2" customFormat="1" x14ac:dyDescent="0.25">
      <c r="A20" s="116"/>
      <c r="B20" s="117"/>
      <c r="C20" s="121"/>
      <c r="D20" s="121"/>
      <c r="E20" s="122"/>
    </row>
    <row r="21" spans="1:6" s="2" customFormat="1" x14ac:dyDescent="0.25">
      <c r="A21" s="116"/>
      <c r="B21" s="117"/>
      <c r="C21" s="121"/>
      <c r="D21" s="121"/>
      <c r="E21" s="122"/>
    </row>
    <row r="22" spans="1:6" s="2" customFormat="1" x14ac:dyDescent="0.25">
      <c r="A22" s="120"/>
      <c r="B22" s="117"/>
      <c r="C22" s="121"/>
      <c r="D22" s="121"/>
      <c r="E22" s="122"/>
    </row>
    <row r="23" spans="1:6" s="2" customFormat="1" x14ac:dyDescent="0.25">
      <c r="A23" s="120"/>
      <c r="B23" s="117"/>
      <c r="C23" s="121"/>
      <c r="D23" s="121"/>
      <c r="E23" s="122"/>
    </row>
    <row r="24" spans="1:6" s="2" customFormat="1" hidden="1" x14ac:dyDescent="0.25">
      <c r="A24" s="98"/>
      <c r="B24" s="95"/>
      <c r="C24" s="99"/>
      <c r="D24" s="99"/>
      <c r="E24" s="100"/>
    </row>
    <row r="25" spans="1:6" ht="34.5" customHeight="1" x14ac:dyDescent="0.25">
      <c r="A25" s="53" t="s">
        <v>374</v>
      </c>
      <c r="B25" s="62">
        <f>SUM(B11:B24)</f>
        <v>470.34</v>
      </c>
      <c r="C25" s="70" t="str">
        <f>IF(SUBTOTAL(3,B11:B24)=SUBTOTAL(103,B11:B24),'Summary and sign-off'!$A$48,'Summary and sign-off'!$A$49)</f>
        <v>Check - there are no hidden rows with data</v>
      </c>
      <c r="D25" s="163" t="str">
        <f>IF('Summary and sign-off'!F59='Summary and sign-off'!F54,'Summary and sign-off'!A51,'Summary and sign-off'!A50)</f>
        <v>Check - each entry provides sufficient information</v>
      </c>
      <c r="E25" s="163"/>
    </row>
    <row r="26" spans="1:6" ht="14.25" customHeight="1" x14ac:dyDescent="0.25">
      <c r="B26" s="17"/>
      <c r="C26" s="17"/>
      <c r="D26" s="17"/>
      <c r="E26" s="17"/>
    </row>
    <row r="27" spans="1:6" ht="13" x14ac:dyDescent="0.3">
      <c r="A27" s="18" t="s">
        <v>375</v>
      </c>
      <c r="B27" s="17"/>
      <c r="C27" s="17"/>
      <c r="D27" s="17"/>
      <c r="E27" s="17"/>
    </row>
    <row r="28" spans="1:6" ht="12.75" customHeight="1" x14ac:dyDescent="0.25">
      <c r="A28" s="20" t="s">
        <v>341</v>
      </c>
      <c r="B28" s="17"/>
      <c r="C28" s="17"/>
      <c r="D28" s="17"/>
      <c r="E28" s="17"/>
    </row>
    <row r="29" spans="1:6" ht="13" x14ac:dyDescent="0.3">
      <c r="A29" s="20" t="s">
        <v>87</v>
      </c>
      <c r="B29" s="19"/>
      <c r="C29" s="17"/>
      <c r="D29" s="17"/>
      <c r="E29" s="17"/>
      <c r="F29" s="17"/>
    </row>
    <row r="30" spans="1:6" x14ac:dyDescent="0.25">
      <c r="A30" s="20" t="s">
        <v>368</v>
      </c>
      <c r="C30" s="17"/>
      <c r="D30" s="17"/>
      <c r="E30" s="17"/>
      <c r="F30" s="17"/>
    </row>
    <row r="31" spans="1:6" ht="12.75" customHeight="1" x14ac:dyDescent="0.25">
      <c r="A31" s="20" t="s">
        <v>369</v>
      </c>
      <c r="B31" s="25"/>
      <c r="C31" s="22"/>
      <c r="D31" s="22"/>
      <c r="E31" s="22"/>
      <c r="F31" s="22"/>
    </row>
    <row r="32" spans="1:6" x14ac:dyDescent="0.25">
      <c r="B32" s="26"/>
      <c r="C32" s="17"/>
      <c r="D32" s="17"/>
      <c r="E32" s="17"/>
    </row>
    <row r="33" spans="1:5" hidden="1" x14ac:dyDescent="0.25">
      <c r="A33" s="17"/>
      <c r="B33" s="17"/>
      <c r="C33" s="17"/>
      <c r="D33" s="17"/>
    </row>
    <row r="34" spans="1:5" ht="12.75" hidden="1" customHeight="1" x14ac:dyDescent="0.25"/>
    <row r="35" spans="1:5" hidden="1" x14ac:dyDescent="0.25">
      <c r="A35" s="17"/>
      <c r="B35" s="17"/>
      <c r="C35" s="17"/>
      <c r="D35" s="17"/>
      <c r="E35" s="17"/>
    </row>
    <row r="36" spans="1:5" hidden="1" x14ac:dyDescent="0.25">
      <c r="A36" s="17"/>
      <c r="B36" s="17"/>
      <c r="C36" s="17"/>
      <c r="D36" s="17"/>
      <c r="E36" s="17"/>
    </row>
    <row r="37" spans="1:5" hidden="1" x14ac:dyDescent="0.25">
      <c r="A37" s="17"/>
      <c r="B37" s="17"/>
      <c r="C37" s="17"/>
      <c r="D37" s="17"/>
      <c r="E37" s="17"/>
    </row>
    <row r="38" spans="1:5" hidden="1" x14ac:dyDescent="0.25">
      <c r="A38" s="17"/>
      <c r="B38" s="17"/>
      <c r="C38" s="17"/>
      <c r="D38" s="17"/>
      <c r="E38" s="17"/>
    </row>
    <row r="39" spans="1:5" hidden="1" x14ac:dyDescent="0.25">
      <c r="A39" s="17"/>
      <c r="B39" s="17"/>
      <c r="C39" s="17"/>
      <c r="D39" s="17"/>
      <c r="E39" s="17"/>
    </row>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68"/>
  <sheetViews>
    <sheetView topLeftCell="A6" zoomScaleNormal="100" workbookViewId="0">
      <selection activeCell="F15" sqref="F15"/>
    </sheetView>
  </sheetViews>
  <sheetFormatPr defaultColWidth="0" defaultRowHeight="12.5" zeroHeight="1" x14ac:dyDescent="0.25"/>
  <cols>
    <col min="1" max="1" width="35.7265625" customWidth="1"/>
    <col min="2" max="2" width="46.81640625" customWidth="1"/>
    <col min="3" max="3" width="22.1796875" customWidth="1"/>
    <col min="4" max="4" width="25.453125" customWidth="1"/>
    <col min="5" max="6" width="35.7265625" customWidth="1"/>
    <col min="7" max="7" width="38" customWidth="1"/>
    <col min="8" max="10" width="9.1796875" hidden="1" customWidth="1"/>
    <col min="11" max="15" width="0" hidden="1" customWidth="1"/>
  </cols>
  <sheetData>
    <row r="1" spans="1:6" ht="26.25" customHeight="1" x14ac:dyDescent="0.25">
      <c r="A1" s="159" t="s">
        <v>376</v>
      </c>
      <c r="B1" s="159"/>
      <c r="C1" s="159"/>
      <c r="D1" s="159"/>
      <c r="E1" s="159"/>
      <c r="F1" s="159"/>
    </row>
    <row r="2" spans="1:6" ht="21" customHeight="1" x14ac:dyDescent="0.25">
      <c r="A2" s="3" t="s">
        <v>57</v>
      </c>
      <c r="B2" s="162" t="str">
        <f>'Summary and sign-off'!B2:F2</f>
        <v>Sport NZ Group</v>
      </c>
      <c r="C2" s="162"/>
      <c r="D2" s="162"/>
      <c r="E2" s="162"/>
      <c r="F2" s="162"/>
    </row>
    <row r="3" spans="1:6" ht="21" customHeight="1" x14ac:dyDescent="0.25">
      <c r="A3" s="3" t="s">
        <v>118</v>
      </c>
      <c r="B3" s="162" t="str">
        <f>'Summary and sign-off'!B3:F3</f>
        <v>Raelene Castle</v>
      </c>
      <c r="C3" s="162"/>
      <c r="D3" s="162"/>
      <c r="E3" s="162"/>
      <c r="F3" s="162"/>
    </row>
    <row r="4" spans="1:6" ht="21" customHeight="1" x14ac:dyDescent="0.25">
      <c r="A4" s="3" t="s">
        <v>119</v>
      </c>
      <c r="B4" s="162">
        <f>'Summary and sign-off'!B4:F4</f>
        <v>44743</v>
      </c>
      <c r="C4" s="162"/>
      <c r="D4" s="162"/>
      <c r="E4" s="162"/>
      <c r="F4" s="162"/>
    </row>
    <row r="5" spans="1:6" ht="21" customHeight="1" x14ac:dyDescent="0.25">
      <c r="A5" s="3" t="s">
        <v>120</v>
      </c>
      <c r="B5" s="162">
        <f>'Summary and sign-off'!B5:F5</f>
        <v>45107</v>
      </c>
      <c r="C5" s="162"/>
      <c r="D5" s="162"/>
      <c r="E5" s="162"/>
      <c r="F5" s="162"/>
    </row>
    <row r="6" spans="1:6" ht="21" customHeight="1" x14ac:dyDescent="0.25">
      <c r="A6" s="3" t="s">
        <v>377</v>
      </c>
      <c r="B6" s="157" t="s">
        <v>89</v>
      </c>
      <c r="C6" s="157"/>
      <c r="D6" s="157"/>
      <c r="E6" s="157"/>
      <c r="F6" s="157"/>
    </row>
    <row r="7" spans="1:6" ht="21" customHeight="1" x14ac:dyDescent="0.25">
      <c r="A7" s="3" t="s">
        <v>63</v>
      </c>
      <c r="B7" s="157" t="s">
        <v>91</v>
      </c>
      <c r="C7" s="157"/>
      <c r="D7" s="157"/>
      <c r="E7" s="157"/>
      <c r="F7" s="157"/>
    </row>
    <row r="8" spans="1:6" ht="36" customHeight="1" x14ac:dyDescent="0.25">
      <c r="A8" s="166" t="s">
        <v>378</v>
      </c>
      <c r="B8" s="166"/>
      <c r="C8" s="166"/>
      <c r="D8" s="166"/>
      <c r="E8" s="166"/>
      <c r="F8" s="166"/>
    </row>
    <row r="9" spans="1:6" ht="36" customHeight="1" x14ac:dyDescent="0.25">
      <c r="A9" s="174" t="s">
        <v>379</v>
      </c>
      <c r="B9" s="175"/>
      <c r="C9" s="175"/>
      <c r="D9" s="175"/>
      <c r="E9" s="175"/>
      <c r="F9" s="175"/>
    </row>
    <row r="10" spans="1:6" ht="39" customHeight="1" x14ac:dyDescent="0.25">
      <c r="A10" s="24" t="s">
        <v>125</v>
      </c>
      <c r="B10" s="110" t="s">
        <v>380</v>
      </c>
      <c r="C10" s="110" t="s">
        <v>381</v>
      </c>
      <c r="D10" s="110" t="s">
        <v>382</v>
      </c>
      <c r="E10" s="110" t="s">
        <v>383</v>
      </c>
      <c r="F10" s="110" t="s">
        <v>384</v>
      </c>
    </row>
    <row r="11" spans="1:6" s="2" customFormat="1" hidden="1" x14ac:dyDescent="0.25">
      <c r="A11" s="94"/>
      <c r="B11" s="99"/>
      <c r="C11" s="101"/>
      <c r="D11" s="99"/>
      <c r="E11" s="102"/>
      <c r="F11" s="100"/>
    </row>
    <row r="12" spans="1:6" s="2" customFormat="1" x14ac:dyDescent="0.25">
      <c r="A12" s="116">
        <v>44757</v>
      </c>
      <c r="B12" s="123" t="s">
        <v>385</v>
      </c>
      <c r="C12" s="124" t="s">
        <v>105</v>
      </c>
      <c r="D12" s="123" t="s">
        <v>386</v>
      </c>
      <c r="E12" s="125" t="s">
        <v>100</v>
      </c>
      <c r="F12" s="126"/>
    </row>
    <row r="13" spans="1:6" s="2" customFormat="1" x14ac:dyDescent="0.25">
      <c r="A13" s="116">
        <v>44828</v>
      </c>
      <c r="B13" s="123" t="s">
        <v>387</v>
      </c>
      <c r="C13" s="124" t="s">
        <v>104</v>
      </c>
      <c r="D13" s="123" t="s">
        <v>386</v>
      </c>
      <c r="E13" s="125" t="s">
        <v>100</v>
      </c>
      <c r="F13" s="126"/>
    </row>
    <row r="14" spans="1:6" s="2" customFormat="1" x14ac:dyDescent="0.25">
      <c r="A14" s="116">
        <v>44828</v>
      </c>
      <c r="B14" s="123" t="s">
        <v>387</v>
      </c>
      <c r="C14" s="124" t="s">
        <v>105</v>
      </c>
      <c r="D14" s="123" t="s">
        <v>388</v>
      </c>
      <c r="E14" s="125" t="s">
        <v>100</v>
      </c>
      <c r="F14" s="126"/>
    </row>
    <row r="15" spans="1:6" s="2" customFormat="1" ht="25" x14ac:dyDescent="0.25">
      <c r="A15" s="116">
        <v>44835</v>
      </c>
      <c r="B15" s="123" t="s">
        <v>389</v>
      </c>
      <c r="C15" s="124" t="s">
        <v>104</v>
      </c>
      <c r="D15" s="123" t="s">
        <v>386</v>
      </c>
      <c r="E15" s="125" t="s">
        <v>100</v>
      </c>
      <c r="F15" s="126" t="s">
        <v>482</v>
      </c>
    </row>
    <row r="16" spans="1:6" s="2" customFormat="1" ht="25" x14ac:dyDescent="0.25">
      <c r="A16" s="116">
        <v>44835</v>
      </c>
      <c r="B16" s="123" t="s">
        <v>389</v>
      </c>
      <c r="C16" s="124" t="s">
        <v>105</v>
      </c>
      <c r="D16" s="123" t="s">
        <v>386</v>
      </c>
      <c r="E16" s="125" t="s">
        <v>100</v>
      </c>
      <c r="F16" s="126" t="s">
        <v>390</v>
      </c>
    </row>
    <row r="17" spans="1:6" s="2" customFormat="1" x14ac:dyDescent="0.25">
      <c r="A17" s="116">
        <v>44829</v>
      </c>
      <c r="B17" s="123" t="s">
        <v>391</v>
      </c>
      <c r="C17" s="124" t="s">
        <v>104</v>
      </c>
      <c r="D17" s="123" t="s">
        <v>392</v>
      </c>
      <c r="E17" s="125" t="s">
        <v>100</v>
      </c>
      <c r="F17" s="126"/>
    </row>
    <row r="18" spans="1:6" s="2" customFormat="1" x14ac:dyDescent="0.25">
      <c r="A18" s="116">
        <v>44847</v>
      </c>
      <c r="B18" s="123" t="s">
        <v>393</v>
      </c>
      <c r="C18" s="124" t="s">
        <v>105</v>
      </c>
      <c r="D18" s="123" t="s">
        <v>394</v>
      </c>
      <c r="E18" s="125" t="s">
        <v>99</v>
      </c>
      <c r="F18" s="126"/>
    </row>
    <row r="19" spans="1:6" s="2" customFormat="1" x14ac:dyDescent="0.25">
      <c r="A19" s="116">
        <v>44856</v>
      </c>
      <c r="B19" s="123" t="s">
        <v>395</v>
      </c>
      <c r="C19" s="124" t="s">
        <v>104</v>
      </c>
      <c r="D19" s="123" t="s">
        <v>396</v>
      </c>
      <c r="E19" s="125" t="s">
        <v>99</v>
      </c>
      <c r="F19" s="126"/>
    </row>
    <row r="20" spans="1:6" s="2" customFormat="1" x14ac:dyDescent="0.25">
      <c r="A20" s="116">
        <v>44857</v>
      </c>
      <c r="B20" s="123" t="s">
        <v>397</v>
      </c>
      <c r="C20" s="124" t="s">
        <v>104</v>
      </c>
      <c r="D20" s="123" t="s">
        <v>398</v>
      </c>
      <c r="E20" s="125" t="s">
        <v>100</v>
      </c>
      <c r="F20" s="126" t="s">
        <v>399</v>
      </c>
    </row>
    <row r="21" spans="1:6" s="2" customFormat="1" x14ac:dyDescent="0.25">
      <c r="A21" s="116">
        <v>44885</v>
      </c>
      <c r="B21" s="123" t="s">
        <v>400</v>
      </c>
      <c r="C21" s="124" t="s">
        <v>105</v>
      </c>
      <c r="D21" s="123" t="s">
        <v>394</v>
      </c>
      <c r="E21" s="125" t="s">
        <v>99</v>
      </c>
      <c r="F21" s="126"/>
    </row>
    <row r="22" spans="1:6" s="2" customFormat="1" x14ac:dyDescent="0.25">
      <c r="A22" s="116">
        <v>44866</v>
      </c>
      <c r="B22" s="123" t="s">
        <v>401</v>
      </c>
      <c r="C22" s="124" t="s">
        <v>104</v>
      </c>
      <c r="D22" s="123" t="s">
        <v>402</v>
      </c>
      <c r="E22" s="125" t="s">
        <v>100</v>
      </c>
      <c r="F22" s="126" t="s">
        <v>403</v>
      </c>
    </row>
    <row r="23" spans="1:6" s="2" customFormat="1" ht="25" x14ac:dyDescent="0.25">
      <c r="A23" s="116">
        <v>44881</v>
      </c>
      <c r="B23" s="123" t="s">
        <v>404</v>
      </c>
      <c r="C23" s="124" t="s">
        <v>104</v>
      </c>
      <c r="D23" s="123" t="s">
        <v>405</v>
      </c>
      <c r="E23" s="125" t="s">
        <v>100</v>
      </c>
      <c r="F23" s="126" t="s">
        <v>399</v>
      </c>
    </row>
    <row r="24" spans="1:6" s="2" customFormat="1" x14ac:dyDescent="0.25">
      <c r="A24" s="116">
        <v>44883</v>
      </c>
      <c r="B24" s="123" t="s">
        <v>406</v>
      </c>
      <c r="C24" s="124" t="s">
        <v>105</v>
      </c>
      <c r="D24" s="123" t="s">
        <v>407</v>
      </c>
      <c r="E24" s="125" t="s">
        <v>99</v>
      </c>
      <c r="F24" s="126"/>
    </row>
    <row r="25" spans="1:6" s="2" customFormat="1" x14ac:dyDescent="0.25">
      <c r="A25" s="116">
        <v>44899</v>
      </c>
      <c r="B25" s="123" t="s">
        <v>408</v>
      </c>
      <c r="C25" s="124" t="s">
        <v>104</v>
      </c>
      <c r="D25" s="123" t="s">
        <v>409</v>
      </c>
      <c r="E25" s="125" t="s">
        <v>99</v>
      </c>
      <c r="F25" s="126"/>
    </row>
    <row r="26" spans="1:6" s="2" customFormat="1" x14ac:dyDescent="0.25">
      <c r="A26" s="116">
        <v>44937</v>
      </c>
      <c r="B26" s="123" t="s">
        <v>410</v>
      </c>
      <c r="C26" s="124" t="s">
        <v>105</v>
      </c>
      <c r="D26" s="123" t="s">
        <v>411</v>
      </c>
      <c r="E26" s="125" t="s">
        <v>100</v>
      </c>
      <c r="F26" s="126"/>
    </row>
    <row r="27" spans="1:6" s="2" customFormat="1" x14ac:dyDescent="0.25">
      <c r="A27" s="116">
        <v>44983</v>
      </c>
      <c r="B27" s="123" t="s">
        <v>412</v>
      </c>
      <c r="C27" s="124" t="s">
        <v>104</v>
      </c>
      <c r="D27" s="123" t="s">
        <v>405</v>
      </c>
      <c r="E27" s="125" t="s">
        <v>99</v>
      </c>
      <c r="F27" s="126"/>
    </row>
    <row r="28" spans="1:6" s="2" customFormat="1" x14ac:dyDescent="0.25">
      <c r="A28" s="116">
        <v>44988</v>
      </c>
      <c r="B28" s="123" t="s">
        <v>413</v>
      </c>
      <c r="C28" s="124" t="s">
        <v>105</v>
      </c>
      <c r="D28" s="123" t="s">
        <v>414</v>
      </c>
      <c r="E28" s="125" t="s">
        <v>99</v>
      </c>
      <c r="F28" s="126"/>
    </row>
    <row r="29" spans="1:6" s="2" customFormat="1" x14ac:dyDescent="0.25">
      <c r="A29" s="116">
        <v>44994</v>
      </c>
      <c r="B29" s="123" t="s">
        <v>415</v>
      </c>
      <c r="C29" s="124" t="s">
        <v>105</v>
      </c>
      <c r="D29" s="123" t="s">
        <v>416</v>
      </c>
      <c r="E29" s="125" t="s">
        <v>99</v>
      </c>
      <c r="F29" s="126"/>
    </row>
    <row r="30" spans="1:6" s="2" customFormat="1" x14ac:dyDescent="0.25">
      <c r="A30" s="116">
        <v>44997</v>
      </c>
      <c r="B30" s="123" t="s">
        <v>417</v>
      </c>
      <c r="C30" s="124" t="s">
        <v>105</v>
      </c>
      <c r="D30" s="123" t="s">
        <v>414</v>
      </c>
      <c r="E30" s="125" t="s">
        <v>99</v>
      </c>
      <c r="F30" s="126"/>
    </row>
    <row r="31" spans="1:6" s="2" customFormat="1" x14ac:dyDescent="0.25">
      <c r="A31" s="116">
        <v>45008</v>
      </c>
      <c r="B31" s="123" t="s">
        <v>418</v>
      </c>
      <c r="C31" s="124" t="s">
        <v>105</v>
      </c>
      <c r="D31" s="123" t="s">
        <v>407</v>
      </c>
      <c r="E31" s="125" t="s">
        <v>99</v>
      </c>
      <c r="F31" s="126"/>
    </row>
    <row r="32" spans="1:6" s="2" customFormat="1" x14ac:dyDescent="0.25">
      <c r="A32" s="142" t="s">
        <v>419</v>
      </c>
      <c r="B32" s="123" t="s">
        <v>420</v>
      </c>
      <c r="C32" s="124" t="s">
        <v>105</v>
      </c>
      <c r="D32" s="123" t="s">
        <v>421</v>
      </c>
      <c r="E32" s="125" t="s">
        <v>99</v>
      </c>
      <c r="F32" s="126"/>
    </row>
    <row r="33" spans="1:7" s="2" customFormat="1" x14ac:dyDescent="0.25">
      <c r="A33" s="142" t="s">
        <v>422</v>
      </c>
      <c r="B33" s="123" t="s">
        <v>423</v>
      </c>
      <c r="C33" s="124" t="s">
        <v>105</v>
      </c>
      <c r="D33" s="123" t="s">
        <v>392</v>
      </c>
      <c r="E33" s="125" t="s">
        <v>99</v>
      </c>
      <c r="F33" s="126"/>
    </row>
    <row r="34" spans="1:7" s="2" customFormat="1" x14ac:dyDescent="0.25">
      <c r="A34" s="142" t="s">
        <v>424</v>
      </c>
      <c r="B34" s="123" t="s">
        <v>425</v>
      </c>
      <c r="C34" s="124" t="s">
        <v>105</v>
      </c>
      <c r="D34" s="123" t="s">
        <v>426</v>
      </c>
      <c r="E34" s="125" t="s">
        <v>100</v>
      </c>
      <c r="F34" s="126"/>
    </row>
    <row r="35" spans="1:7" s="2" customFormat="1" x14ac:dyDescent="0.25">
      <c r="A35" s="116">
        <v>45049</v>
      </c>
      <c r="B35" s="123" t="s">
        <v>427</v>
      </c>
      <c r="C35" s="124" t="s">
        <v>104</v>
      </c>
      <c r="D35" s="123" t="s">
        <v>428</v>
      </c>
      <c r="E35" s="125" t="s">
        <v>99</v>
      </c>
      <c r="F35" s="126"/>
    </row>
    <row r="36" spans="1:7" s="2" customFormat="1" x14ac:dyDescent="0.25">
      <c r="A36" s="116">
        <v>45050</v>
      </c>
      <c r="B36" s="123" t="s">
        <v>429</v>
      </c>
      <c r="C36" s="124" t="s">
        <v>104</v>
      </c>
      <c r="D36" s="123" t="s">
        <v>430</v>
      </c>
      <c r="E36" s="125" t="s">
        <v>99</v>
      </c>
      <c r="F36" s="126"/>
    </row>
    <row r="37" spans="1:7" s="2" customFormat="1" hidden="1" x14ac:dyDescent="0.25">
      <c r="A37" s="94"/>
      <c r="B37" s="99"/>
      <c r="C37" s="101"/>
      <c r="D37" s="99"/>
      <c r="E37" s="102"/>
      <c r="F37" s="100"/>
    </row>
    <row r="38" spans="1:7" ht="34.5" customHeight="1" x14ac:dyDescent="0.25">
      <c r="A38" s="111" t="s">
        <v>431</v>
      </c>
      <c r="B38" s="112" t="s">
        <v>432</v>
      </c>
      <c r="C38" s="113">
        <f>C39+C40</f>
        <v>25</v>
      </c>
      <c r="D38" s="114" t="str">
        <f>IF(SUBTOTAL(3,C11:C37)=SUBTOTAL(103,C11:C37),'Summary and sign-off'!$A$48,'Summary and sign-off'!$A$49)</f>
        <v>Check - there are no hidden rows with data</v>
      </c>
      <c r="E38" s="163" t="str">
        <f>IF('Summary and sign-off'!F60='Summary and sign-off'!F54,'Summary and sign-off'!A52,'Summary and sign-off'!A50)</f>
        <v>Check - each entry provides sufficient information</v>
      </c>
      <c r="F38" s="163"/>
      <c r="G38" s="2"/>
    </row>
    <row r="39" spans="1:7" ht="25.5" customHeight="1" x14ac:dyDescent="0.35">
      <c r="A39" s="54"/>
      <c r="B39" s="55" t="s">
        <v>104</v>
      </c>
      <c r="C39" s="56">
        <f>COUNTIF(C11:C37,'Summary and sign-off'!A45)</f>
        <v>11</v>
      </c>
      <c r="D39" s="14"/>
      <c r="E39" s="15"/>
      <c r="F39" s="16"/>
    </row>
    <row r="40" spans="1:7" ht="25.5" customHeight="1" x14ac:dyDescent="0.35">
      <c r="A40" s="54"/>
      <c r="B40" s="55" t="s">
        <v>105</v>
      </c>
      <c r="C40" s="56">
        <f>COUNTIF(C11:C37,'Summary and sign-off'!A46)</f>
        <v>14</v>
      </c>
      <c r="D40" s="14"/>
      <c r="E40" s="15"/>
      <c r="F40" s="16"/>
    </row>
    <row r="41" spans="1:7" ht="13" x14ac:dyDescent="0.3">
      <c r="A41" s="17"/>
      <c r="B41" s="18"/>
      <c r="C41" s="17"/>
      <c r="D41" s="19"/>
      <c r="E41" s="19"/>
      <c r="F41" s="17"/>
    </row>
    <row r="42" spans="1:7" ht="13" x14ac:dyDescent="0.3">
      <c r="A42" s="18" t="s">
        <v>375</v>
      </c>
      <c r="B42" s="18"/>
      <c r="C42" s="18"/>
      <c r="D42" s="18"/>
      <c r="E42" s="18"/>
      <c r="F42" s="18"/>
    </row>
    <row r="43" spans="1:7" ht="12.75" customHeight="1" x14ac:dyDescent="0.25">
      <c r="A43" s="20" t="s">
        <v>341</v>
      </c>
      <c r="B43" s="17"/>
      <c r="C43" s="17"/>
      <c r="D43" s="17"/>
      <c r="E43" s="17"/>
    </row>
    <row r="44" spans="1:7" ht="13" x14ac:dyDescent="0.3">
      <c r="A44" s="20" t="s">
        <v>87</v>
      </c>
      <c r="B44" s="19"/>
      <c r="C44" s="17"/>
      <c r="D44" s="17"/>
      <c r="E44" s="17"/>
      <c r="F44" s="17"/>
    </row>
    <row r="45" spans="1:7" ht="13" x14ac:dyDescent="0.3">
      <c r="A45" s="20" t="s">
        <v>433</v>
      </c>
      <c r="B45" s="21"/>
      <c r="C45" s="21"/>
      <c r="D45" s="21"/>
      <c r="E45" s="21"/>
      <c r="F45" s="21"/>
    </row>
    <row r="46" spans="1:7" ht="12.75" customHeight="1" x14ac:dyDescent="0.25">
      <c r="A46" s="20" t="s">
        <v>434</v>
      </c>
      <c r="B46" s="17"/>
      <c r="C46" s="17"/>
      <c r="D46" s="17"/>
      <c r="E46" s="17"/>
      <c r="F46" s="17"/>
    </row>
    <row r="47" spans="1:7" ht="13.15" customHeight="1" x14ac:dyDescent="0.25">
      <c r="A47" s="20" t="s">
        <v>435</v>
      </c>
      <c r="B47" s="17"/>
      <c r="C47" s="17"/>
      <c r="D47" s="17"/>
      <c r="E47" s="17"/>
      <c r="F47" s="17"/>
    </row>
    <row r="48" spans="1:7" x14ac:dyDescent="0.25">
      <c r="A48" s="20" t="s">
        <v>436</v>
      </c>
      <c r="C48" s="17"/>
      <c r="D48" s="17"/>
      <c r="E48" s="17"/>
      <c r="F48" s="17"/>
    </row>
    <row r="49" spans="1:6" ht="12.75" customHeight="1" x14ac:dyDescent="0.25">
      <c r="A49" s="20" t="s">
        <v>369</v>
      </c>
      <c r="B49" s="20"/>
      <c r="C49" s="22"/>
      <c r="D49" s="22"/>
      <c r="E49" s="22"/>
      <c r="F49" s="22"/>
    </row>
    <row r="50" spans="1:6" ht="12.75" customHeight="1" x14ac:dyDescent="0.25">
      <c r="A50" s="20"/>
      <c r="B50" s="20"/>
      <c r="C50" s="22"/>
      <c r="D50" s="22"/>
      <c r="E50" s="22"/>
      <c r="F50" s="22"/>
    </row>
    <row r="51" spans="1:6" ht="12.75" hidden="1" customHeight="1" x14ac:dyDescent="0.25">
      <c r="A51" s="20"/>
      <c r="B51" s="20"/>
      <c r="C51" s="22"/>
      <c r="D51" s="22"/>
      <c r="E51" s="22"/>
      <c r="F51" s="22"/>
    </row>
    <row r="54" spans="1:6" ht="13" hidden="1" x14ac:dyDescent="0.3">
      <c r="A54" s="18"/>
      <c r="B54" s="18"/>
      <c r="C54" s="18"/>
      <c r="D54" s="18"/>
      <c r="E54" s="18"/>
      <c r="F54" s="18"/>
    </row>
    <row r="55" spans="1:6" ht="13" hidden="1" x14ac:dyDescent="0.3">
      <c r="A55" s="18"/>
      <c r="B55" s="18"/>
      <c r="C55" s="18"/>
      <c r="D55" s="18"/>
      <c r="E55" s="18"/>
      <c r="F55" s="18"/>
    </row>
    <row r="56" spans="1:6" ht="13" hidden="1" x14ac:dyDescent="0.3">
      <c r="A56" s="18"/>
      <c r="B56" s="18"/>
      <c r="C56" s="18"/>
      <c r="D56" s="18"/>
      <c r="E56" s="18"/>
      <c r="F56" s="18"/>
    </row>
    <row r="57" spans="1:6" ht="13" hidden="1" x14ac:dyDescent="0.3">
      <c r="A57" s="18"/>
      <c r="B57" s="18"/>
      <c r="C57" s="18"/>
      <c r="D57" s="18"/>
      <c r="E57" s="18"/>
      <c r="F57" s="18"/>
    </row>
    <row r="58" spans="1:6" ht="13" hidden="1" x14ac:dyDescent="0.3">
      <c r="A58" s="18"/>
      <c r="B58" s="18"/>
      <c r="C58" s="18"/>
      <c r="D58" s="18"/>
      <c r="E58" s="18"/>
      <c r="F58" s="18"/>
    </row>
    <row r="59" spans="1:6" x14ac:dyDescent="0.25"/>
    <row r="60" spans="1:6" x14ac:dyDescent="0.25"/>
    <row r="61" spans="1:6" x14ac:dyDescent="0.25"/>
    <row r="62" spans="1:6" x14ac:dyDescent="0.25"/>
    <row r="63" spans="1:6" x14ac:dyDescent="0.25"/>
    <row r="64" spans="1:6" x14ac:dyDescent="0.25"/>
    <row r="65" x14ac:dyDescent="0.25"/>
    <row r="66" x14ac:dyDescent="0.25"/>
    <row r="67" x14ac:dyDescent="0.25"/>
    <row r="68" x14ac:dyDescent="0.25"/>
  </sheetData>
  <sheetProtection sheet="1" formatCells="0" insertRows="0" deleteRows="0"/>
  <dataConsolidate/>
  <mergeCells count="10">
    <mergeCell ref="E38:F38"/>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37"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36"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C11:C37</xm:sqref>
        </x14:dataValidation>
        <x14:dataValidation type="list" errorStyle="information" operator="greaterThan" allowBlank="1" showInputMessage="1" prompt="Provide specific $ value if possible" xr:uid="{00000000-0002-0000-0500-000003000000}">
          <x14:formula1>
            <xm:f>'Summary and sign-off'!$A$39:$A$44</xm:f>
          </x14:formula1>
          <xm:sqref>E11:E37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Document" ma:contentTypeID="0x0101001E94C3B72383DE4DAA17349E0BBF252600CF303D3B26ED3B43AB85D38A55146184" ma:contentTypeVersion="93" ma:contentTypeDescription="Create a new document." ma:contentTypeScope="" ma:versionID="730633d530919b12638388ae84723383">
  <xsd:schema xmlns:xsd="http://www.w3.org/2001/XMLSchema" xmlns:xs="http://www.w3.org/2001/XMLSchema" xmlns:p="http://schemas.microsoft.com/office/2006/metadata/properties" xmlns:ns2="cb59e981-3bc6-4f52-8729-00103bb11721" xmlns:ns3="542624b3-cffc-481c-adb1-2d25bc83b1e4" xmlns:ns4="4f9c820c-e7e2-444d-97ee-45f2b3485c1d" xmlns:ns5="acb26242-dc21-4420-965a-f5c1d8109808" xmlns:ns6="c91a514c-9034-4fa3-897a-8352025b26ed" xmlns:ns7="15ffb055-6eb4-45a1-bc20-bf2ac0d420da" xmlns:ns8="725c79e5-42ce-4aa0-ac78-b6418001f0d2" targetNamespace="http://schemas.microsoft.com/office/2006/metadata/properties" ma:root="true" ma:fieldsID="667a93ab7f56a06905ede44f6d3e332f" ns2:_="" ns3:_="" ns4:_="" ns5:_="" ns6:_="" ns7:_="" ns8:_="">
    <xsd:import namespace="cb59e981-3bc6-4f52-8729-00103bb11721"/>
    <xsd:import namespace="542624b3-cffc-481c-adb1-2d25bc83b1e4"/>
    <xsd:import namespace="4f9c820c-e7e2-444d-97ee-45f2b3485c1d"/>
    <xsd:import namespace="acb26242-dc21-4420-965a-f5c1d8109808"/>
    <xsd:import namespace="c91a514c-9034-4fa3-897a-8352025b26ed"/>
    <xsd:import namespace="15ffb055-6eb4-45a1-bc20-bf2ac0d420da"/>
    <xsd:import namespace="725c79e5-42ce-4aa0-ac78-b6418001f0d2"/>
    <xsd:element name="properties">
      <xsd:complexType>
        <xsd:sequence>
          <xsd:element name="documentManagement">
            <xsd:complexType>
              <xsd:all>
                <xsd:element ref="ns2:g8fd85cd35464210baa823c6298a2c0b" minOccurs="0"/>
                <xsd:element ref="ns3:TaxCatchAll" minOccurs="0"/>
                <xsd:element ref="ns2:e3343728b5c74b3d8fb6c70eb949629a" minOccurs="0"/>
                <xsd:element ref="ns2:fbbc46e6080f4043b8eb3439e6385fb0" minOccurs="0"/>
                <xsd:element ref="ns4:DocumentType" minOccurs="0"/>
                <xsd:element ref="ns5:FinancialYear" minOccurs="0"/>
                <xsd:element ref="ns6:Year" minOccurs="0"/>
                <xsd:element ref="ns7:KeyWords" minOccurs="0"/>
                <xsd:element ref="ns4:Narrative" minOccurs="0"/>
                <xsd:element ref="ns4:Subactivity" minOccurs="0"/>
                <xsd:element ref="ns4:Case" minOccurs="0"/>
                <xsd:element ref="ns4:CategoryName" minOccurs="0"/>
                <xsd:element ref="ns4:CategoryValue" minOccurs="0"/>
                <xsd:element ref="ns4:FunctionGroup" minOccurs="0"/>
                <xsd:element ref="ns4:Function" minOccurs="0"/>
                <xsd:element ref="ns4:Activity" minOccurs="0"/>
                <xsd:element ref="ns6:Channel" minOccurs="0"/>
                <xsd:element ref="ns6:Team" minOccurs="0"/>
                <xsd:element ref="ns4:PRAType" minOccurs="0"/>
                <xsd:element ref="ns4:PRADate1" minOccurs="0"/>
                <xsd:element ref="ns4:PRADate2" minOccurs="0"/>
                <xsd:element ref="ns4:PRADate3" minOccurs="0"/>
                <xsd:element ref="ns4:PRADateDisposal" minOccurs="0"/>
                <xsd:element ref="ns4:PRADateTrigger" minOccurs="0"/>
                <xsd:element ref="ns4:PRAText1" minOccurs="0"/>
                <xsd:element ref="ns4:PRAText2" minOccurs="0"/>
                <xsd:element ref="ns4:PRAText3" minOccurs="0"/>
                <xsd:element ref="ns4:PRAText4" minOccurs="0"/>
                <xsd:element ref="ns4:PRAText5" minOccurs="0"/>
                <xsd:element ref="ns4:AggregationStatus" minOccurs="0"/>
                <xsd:element ref="ns4:Project" minOccurs="0"/>
                <xsd:element ref="ns4:RelatedPeople" minOccurs="0"/>
                <xsd:element ref="ns8:AggregationNarrative" minOccurs="0"/>
                <xsd:element ref="ns7:SecurityClassification" minOccurs="0"/>
                <xsd:element ref="ns6:Level2" minOccurs="0"/>
                <xsd:element ref="ns6:Level3" minOccurs="0"/>
                <xsd:element ref="ns5:RecordID" minOccurs="0"/>
                <xsd:element ref="ns5:PartnerType" minOccurs="0"/>
                <xsd:element ref="ns4:BusinessValue" minOccurs="0"/>
                <xsd:element ref="ns5:zMigrationID" minOccurs="0"/>
                <xsd:element ref="ns5:zLegacy" minOccurs="0"/>
                <xsd:element ref="ns5:zLegacyJSON" minOccurs="0"/>
                <xsd:element ref="ns2:Administrative" minOccurs="0"/>
                <xsd:element ref="ns2:ILDate" minOccurs="0"/>
                <xsd:element ref="ns2:RDClass" minOccurs="0"/>
                <xsd:element ref="ns2:ReadOnlyStatus" minOccurs="0"/>
                <xsd:element ref="ns2:TargetAudience"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59e981-3bc6-4f52-8729-00103bb11721" elementFormDefault="qualified">
    <xsd:import namespace="http://schemas.microsoft.com/office/2006/documentManagement/types"/>
    <xsd:import namespace="http://schemas.microsoft.com/office/infopath/2007/PartnerControls"/>
    <xsd:element name="g8fd85cd35464210baa823c6298a2c0b" ma:index="8" nillable="true" ma:taxonomy="true" ma:internalName="g8fd85cd35464210baa823c6298a2c0b" ma:taxonomyFieldName="Region" ma:displayName="Region" ma:readOnly="false" ma:default="" ma:fieldId="{08fd85cd-3546-4210-baa8-23c6298a2c0b}" ma:taxonomyMulti="true" ma:sspId="d68587a7-d467-4081-ac26-85ae31d62058" ma:termSetId="3c7aa39d-bcb1-4395-95e9-bdfc8bdf89a6" ma:anchorId="00000000-0000-0000-0000-000000000000" ma:open="false" ma:isKeyword="false">
      <xsd:complexType>
        <xsd:sequence>
          <xsd:element ref="pc:Terms" minOccurs="0" maxOccurs="1"/>
        </xsd:sequence>
      </xsd:complexType>
    </xsd:element>
    <xsd:element name="e3343728b5c74b3d8fb6c70eb949629a" ma:index="10" nillable="true" ma:taxonomy="true" ma:internalName="e3343728b5c74b3d8fb6c70eb949629a" ma:taxonomyFieldName="Sport" ma:displayName="Sporting Organisation" ma:indexed="true" ma:readOnly="false" ma:default="" ma:fieldId="{e3343728-b5c7-4b3d-8fb6-c70eb949629a}" ma:sspId="d68587a7-d467-4081-ac26-85ae31d62058" ma:termSetId="a96e8213-cbf3-4924-bad7-8386f835b475" ma:anchorId="00000000-0000-0000-0000-000000000000" ma:open="false" ma:isKeyword="false">
      <xsd:complexType>
        <xsd:sequence>
          <xsd:element ref="pc:Terms" minOccurs="0" maxOccurs="1"/>
        </xsd:sequence>
      </xsd:complexType>
    </xsd:element>
    <xsd:element name="fbbc46e6080f4043b8eb3439e6385fb0" ma:index="11" nillable="true" ma:taxonomy="true" ma:internalName="fbbc46e6080f4043b8eb3439e6385fb0" ma:taxonomyFieldName="Entity" ma:displayName="Related Entity" ma:readOnly="false" ma:default="" ma:fieldId="{fbbc46e6-080f-4043-b8eb-3439e6385fb0}" ma:sspId="d68587a7-d467-4081-ac26-85ae31d62058" ma:termSetId="9b085499-f376-44aa-942c-39fff5b57f3a" ma:anchorId="00000000-0000-0000-0000-000000000000" ma:open="false" ma:isKeyword="false">
      <xsd:complexType>
        <xsd:sequence>
          <xsd:element ref="pc:Terms" minOccurs="0" maxOccurs="1"/>
        </xsd:sequence>
      </xsd:complexType>
    </xsd:element>
    <xsd:element name="Administrative" ma:index="53" nillable="true" ma:displayName="Administrative" ma:hidden="true" ma:internalName="Administrative" ma:readOnly="false">
      <xsd:simpleType>
        <xsd:restriction base="dms:Text">
          <xsd:maxLength value="255"/>
        </xsd:restriction>
      </xsd:simpleType>
    </xsd:element>
    <xsd:element name="ILDate" ma:index="54" nillable="true" ma:displayName="Date" ma:format="DateTime" ma:hidden="true" ma:internalName="ILDate" ma:readOnly="false">
      <xsd:simpleType>
        <xsd:restriction base="dms:DateTime"/>
      </xsd:simpleType>
    </xsd:element>
    <xsd:element name="RDClass" ma:index="55" nillable="true" ma:displayName="Class" ma:default="TESTCLASS" ma:format="Dropdown" ma:hidden="true" ma:internalName="RDClass" ma:readOnly="false">
      <xsd:simpleType>
        <xsd:restriction base="dms:Choice">
          <xsd:enumeration value="DEFAULT"/>
          <xsd:enumeration value="TESTCLASS"/>
          <xsd:enumeration value="Changing from People Mangement to Policies and Procedures"/>
          <xsd:enumeration value="Events Management"/>
          <xsd:enumeration value="Activity Management"/>
          <xsd:enumeration value="Strategic Support"/>
          <xsd:enumeration value="World Cups Office Administration activity"/>
          <xsd:enumeration value="SportNZ - Business Improvement"/>
          <xsd:enumeration value="Active Events"/>
        </xsd:restriction>
      </xsd:simpleType>
    </xsd:element>
    <xsd:element name="ReadOnlyStatus" ma:index="56" nillable="true" ma:displayName="Read Only Status" ma:default="Open" ma:hidden="true" ma:internalName="ReadOnlyStatus" ma:readOnly="false">
      <xsd:simpleType>
        <xsd:restriction base="dms:Choice">
          <xsd:enumeration value="Open"/>
          <xsd:enumeration value="Document"/>
          <xsd:enumeration value="Document and Metadata"/>
        </xsd:restriction>
      </xsd:simpleType>
    </xsd:element>
    <xsd:element name="TargetAudience" ma:index="57" nillable="true" ma:displayName="Target Audience" ma:default="Internal" ma:format="RadioButtons" ma:hidden="true" ma:internalName="TargetAudience" ma:readOnly="false">
      <xsd:simpleType>
        <xsd:union memberTypes="dms:Text">
          <xsd:simpleType>
            <xsd:restriction base="dms:Choice">
              <xsd:enumeration value="Internal"/>
              <xsd:enumeration value="External"/>
            </xsd:restriction>
          </xsd:simpleType>
        </xsd:union>
      </xsd:simpleType>
    </xsd:element>
    <xsd:element name="MediaServiceMetadata" ma:index="58" nillable="true" ma:displayName="MediaServiceMetadata" ma:hidden="true" ma:internalName="MediaServiceMetadata" ma:readOnly="true">
      <xsd:simpleType>
        <xsd:restriction base="dms:Note"/>
      </xsd:simpleType>
    </xsd:element>
    <xsd:element name="MediaServiceFastMetadata" ma:index="59" nillable="true" ma:displayName="MediaServiceFastMetadata" ma:hidden="true" ma:internalName="MediaServiceFastMetadata" ma:readOnly="true">
      <xsd:simpleType>
        <xsd:restriction base="dms:Note"/>
      </xsd:simpleType>
    </xsd:element>
    <xsd:element name="MediaServiceAutoKeyPoints" ma:index="60" nillable="true" ma:displayName="MediaServiceAutoKeyPoints" ma:hidden="true" ma:internalName="MediaServiceAutoKeyPoints" ma:readOnly="true">
      <xsd:simpleType>
        <xsd:restriction base="dms:Note"/>
      </xsd:simpleType>
    </xsd:element>
    <xsd:element name="MediaServiceKeyPoints" ma:index="61" nillable="true" ma:displayName="KeyPoints" ma:internalName="MediaServiceKeyPoints" ma:readOnly="true">
      <xsd:simpleType>
        <xsd:restriction base="dms:Note">
          <xsd:maxLength value="255"/>
        </xsd:restriction>
      </xsd:simpleType>
    </xsd:element>
    <xsd:element name="MediaServiceAutoTags" ma:index="62" nillable="true" ma:displayName="Tags" ma:internalName="MediaServiceAutoTags" ma:readOnly="true">
      <xsd:simpleType>
        <xsd:restriction base="dms:Text"/>
      </xsd:simpleType>
    </xsd:element>
    <xsd:element name="MediaServiceGenerationTime" ma:index="63" nillable="true" ma:displayName="MediaServiceGenerationTime" ma:hidden="true" ma:internalName="MediaServiceGenerationTime" ma:readOnly="true">
      <xsd:simpleType>
        <xsd:restriction base="dms:Text"/>
      </xsd:simpleType>
    </xsd:element>
    <xsd:element name="MediaServiceEventHashCode" ma:index="64" nillable="true" ma:displayName="MediaServiceEventHashCode" ma:hidden="true" ma:internalName="MediaServiceEventHashCode" ma:readOnly="true">
      <xsd:simpleType>
        <xsd:restriction base="dms:Text"/>
      </xsd:simpleType>
    </xsd:element>
    <xsd:element name="MediaServiceObjectDetectorVersions" ma:index="6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2624b3-cffc-481c-adb1-2d25bc83b1e4"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29c1fd97-ccf6-4a7b-921e-b4d02c325a92}" ma:internalName="TaxCatchAll" ma:showField="CatchAllData" ma:web="542624b3-cffc-481c-adb1-2d25bc83b1e4">
      <xsd:complexType>
        <xsd:complexContent>
          <xsd:extension base="dms:MultiChoiceLookup">
            <xsd:sequence>
              <xsd:element name="Value" type="dms:Lookup" maxOccurs="unbounded" minOccurs="0" nillable="true"/>
            </xsd:sequence>
          </xsd:extension>
        </xsd:complexContent>
      </xsd:complexType>
    </xsd:element>
    <xsd:element name="SharedWithUsers" ma:index="6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9c820c-e7e2-444d-97ee-45f2b3485c1d" elementFormDefault="qualified">
    <xsd:import namespace="http://schemas.microsoft.com/office/2006/documentManagement/types"/>
    <xsd:import namespace="http://schemas.microsoft.com/office/infopath/2007/PartnerControls"/>
    <xsd:element name="DocumentType" ma:index="12" nillable="true" ma:displayName="Document Type" ma:format="Dropdown" ma:internalName="DocumentType">
      <xsd:simpleType>
        <xsd:restriction base="dms:Choice">
          <xsd:enumeration value="Application, certificate, consent related"/>
          <xsd:enumeration value="Briefing Paper"/>
          <xsd:enumeration value="Contract, Variation, Agreement"/>
          <xsd:enumeration value="Correspondence"/>
          <xsd:enumeration value="Data"/>
          <xsd:enumeration value="Email"/>
          <xsd:enumeration value="Employment related"/>
          <xsd:enumeration value="Filenote"/>
          <xsd:enumeration value="Financial related"/>
          <xsd:enumeration value="Image or Multi-media"/>
          <xsd:enumeration value="Knowledge, reference"/>
          <xsd:enumeration value="Meeting related"/>
          <xsd:enumeration value="Plan, programme, monitoring"/>
          <xsd:enumeration value="Policy, guideline, procedure"/>
          <xsd:enumeration value="Presentation"/>
          <xsd:enumeration value="Publication"/>
          <xsd:enumeration value="Report, or planning related"/>
          <xsd:enumeration value="Template, Checklist or Form"/>
        </xsd:restriction>
      </xsd:simpleType>
    </xsd:element>
    <xsd:element name="Narrative" ma:index="16" nillable="true" ma:displayName="Narrative" ma:description="Enter a description of what this document is about." ma:internalName="Narrative" ma:readOnly="false">
      <xsd:simpleType>
        <xsd:restriction base="dms:Note">
          <xsd:maxLength value="255"/>
        </xsd:restriction>
      </xsd:simpleType>
    </xsd:element>
    <xsd:element name="Subactivity" ma:index="19" nillable="true" ma:displayName="Subactivity" ma:default="" ma:hidden="true" ma:indexed="true" ma:internalName="Subactivity" ma:readOnly="false">
      <xsd:simpleType>
        <xsd:restriction base="dms:Text">
          <xsd:maxLength value="255"/>
        </xsd:restriction>
      </xsd:simpleType>
    </xsd:element>
    <xsd:element name="Case" ma:index="20" nillable="true" ma:displayName="Case" ma:default="NA" ma:hidden="true" ma:indexed="true" ma:internalName="Case" ma:readOnly="false">
      <xsd:simpleType>
        <xsd:restriction base="dms:Text">
          <xsd:maxLength value="255"/>
        </xsd:restriction>
      </xsd:simpleType>
    </xsd:element>
    <xsd:element name="CategoryName" ma:index="21" nillable="true" ma:displayName="Category" ma:format="Dropdown" ma:indexed="true" ma:internalName="CategoryName">
      <xsd:simpleType>
        <xsd:union memberTypes="dms:Text">
          <xsd:simpleType>
            <xsd:restriction base="dms:Choice">
              <xsd:enumeration value="Annual Report"/>
              <xsd:enumeration value="Annual Review Questions"/>
              <xsd:enumeration value="Estimates Questions"/>
              <xsd:enumeration value="Quarterly Performance Report"/>
              <xsd:enumeration value="Statement of Intent"/>
              <xsd:enumeration value="Statement of Performance Expectations"/>
              <xsd:enumeration value="Demonstrating Impact"/>
            </xsd:restriction>
          </xsd:simpleType>
        </xsd:union>
      </xsd:simpleType>
    </xsd:element>
    <xsd:element name="CategoryValue" ma:index="22" nillable="true" ma:displayName="Category 2" ma:default="NA" ma:hidden="true" ma:indexed="true" ma:internalName="CategoryValue" ma:readOnly="false">
      <xsd:simpleType>
        <xsd:restriction base="dms:Text">
          <xsd:maxLength value="255"/>
        </xsd:restriction>
      </xsd:simpleType>
    </xsd:element>
    <xsd:element name="FunctionGroup" ma:index="23" nillable="true" ma:displayName="Function Group" ma:default="Sport New Zealand" ma:hidden="true" ma:indexed="true" ma:internalName="FunctionGroup" ma:readOnly="false">
      <xsd:simpleType>
        <xsd:restriction base="dms:Text">
          <xsd:maxLength value="255"/>
        </xsd:restriction>
      </xsd:simpleType>
    </xsd:element>
    <xsd:element name="Function" ma:index="24" nillable="true" ma:displayName="Function" ma:default="Governance" ma:hidden="true" ma:indexed="true" ma:internalName="Function" ma:readOnly="false">
      <xsd:simpleType>
        <xsd:restriction base="dms:Text">
          <xsd:maxLength value="255"/>
        </xsd:restriction>
      </xsd:simpleType>
    </xsd:element>
    <xsd:element name="Activity" ma:index="25" nillable="true" ma:displayName="Activity" ma:default="Management and Governance" ma:hidden="true" ma:indexed="true" ma:internalName="Activity" ma:readOnly="false">
      <xsd:simpleType>
        <xsd:restriction base="dms:Text">
          <xsd:maxLength value="255"/>
        </xsd:restriction>
      </xsd:simpleType>
    </xsd:element>
    <xsd:element name="PRAType" ma:index="28" nillable="true" ma:displayName="PRA Type" ma:default="Doc" ma:hidden="true" ma:internalName="PRAType" ma:readOnly="false">
      <xsd:simpleType>
        <xsd:restriction base="dms:Text">
          <xsd:maxLength value="255"/>
        </xsd:restriction>
      </xsd:simpleType>
    </xsd:element>
    <xsd:element name="PRADate1" ma:index="29" nillable="true" ma:displayName="PRA Date 1" ma:format="DateOnly" ma:hidden="true" ma:internalName="PRADate1" ma:readOnly="false">
      <xsd:simpleType>
        <xsd:restriction base="dms:DateTime"/>
      </xsd:simpleType>
    </xsd:element>
    <xsd:element name="PRADate2" ma:index="30" nillable="true" ma:displayName="PRA Date 2" ma:format="DateOnly" ma:hidden="true" ma:internalName="PRADate2" ma:readOnly="false">
      <xsd:simpleType>
        <xsd:restriction base="dms:DateTime"/>
      </xsd:simpleType>
    </xsd:element>
    <xsd:element name="PRADate3" ma:index="31" nillable="true" ma:displayName="PRA Date 3" ma:format="DateOnly" ma:hidden="true" ma:internalName="PRADate3" ma:readOnly="false">
      <xsd:simpleType>
        <xsd:restriction base="dms:DateTime"/>
      </xsd:simpleType>
    </xsd:element>
    <xsd:element name="PRADateDisposal" ma:index="32" nillable="true" ma:displayName="PRA Date Disposal" ma:format="DateOnly" ma:hidden="true" ma:internalName="PRADateDisposal" ma:readOnly="false">
      <xsd:simpleType>
        <xsd:restriction base="dms:DateTime"/>
      </xsd:simpleType>
    </xsd:element>
    <xsd:element name="PRADateTrigger" ma:index="33" nillable="true" ma:displayName="PRA Date Trigger" ma:format="DateOnly" ma:hidden="true" ma:internalName="PRADateTrigger" ma:readOnly="false">
      <xsd:simpleType>
        <xsd:restriction base="dms:DateTime"/>
      </xsd:simpleType>
    </xsd:element>
    <xsd:element name="PRAText1" ma:index="34" nillable="true" ma:displayName="PRA Text 1" ma:hidden="true" ma:internalName="PRAText1" ma:readOnly="false">
      <xsd:simpleType>
        <xsd:restriction base="dms:Text">
          <xsd:maxLength value="255"/>
        </xsd:restriction>
      </xsd:simpleType>
    </xsd:element>
    <xsd:element name="PRAText2" ma:index="35" nillable="true" ma:displayName="PRA Text 2" ma:hidden="true" ma:internalName="PRAText2" ma:readOnly="false">
      <xsd:simpleType>
        <xsd:restriction base="dms:Text">
          <xsd:maxLength value="255"/>
        </xsd:restriction>
      </xsd:simpleType>
    </xsd:element>
    <xsd:element name="PRAText3" ma:index="36" nillable="true" ma:displayName="PRA Text 3" ma:hidden="true" ma:internalName="PRAText3" ma:readOnly="false">
      <xsd:simpleType>
        <xsd:restriction base="dms:Text">
          <xsd:maxLength value="255"/>
        </xsd:restriction>
      </xsd:simpleType>
    </xsd:element>
    <xsd:element name="PRAText4" ma:index="37" nillable="true" ma:displayName="PRA Text 4" ma:hidden="true" ma:internalName="PRAText4" ma:readOnly="false">
      <xsd:simpleType>
        <xsd:restriction base="dms:Text">
          <xsd:maxLength value="255"/>
        </xsd:restriction>
      </xsd:simpleType>
    </xsd:element>
    <xsd:element name="PRAText5" ma:index="38" nillable="true" ma:displayName="PRA Text 5" ma:hidden="true" ma:internalName="PRAText5" ma:readOnly="false">
      <xsd:simpleType>
        <xsd:restriction base="dms:Text">
          <xsd:maxLength value="255"/>
        </xsd:restriction>
      </xsd:simpleType>
    </xsd:element>
    <xsd:element name="AggregationStatus" ma:index="39" nillable="true" ma:displayName="Aggregation Status" ma:default="Normal" ma:format="Dropdown" ma:hidden="true" ma:internalName="AggregationStatus" ma:readOnly="false">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restriction>
      </xsd:simpleType>
    </xsd:element>
    <xsd:element name="Project" ma:index="40" nillable="true" ma:displayName="Project" ma:default="NA" ma:hidden="true" ma:internalName="Project" ma:readOnly="false">
      <xsd:simpleType>
        <xsd:restriction base="dms:Text">
          <xsd:maxLength value="255"/>
        </xsd:restriction>
      </xsd:simpleType>
    </xsd:element>
    <xsd:element name="RelatedPeople" ma:index="41" nillable="true" ma:displayName="Related People" ma:hidden="true" ma:list="UserInfo" ma:SharePointGroup="0"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usinessValue" ma:index="48" nillable="true" ma:displayName="Business Value" ma:hidden="true" ma:internalName="BusinessValu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b26242-dc21-4420-965a-f5c1d8109808" elementFormDefault="qualified">
    <xsd:import namespace="http://schemas.microsoft.com/office/2006/documentManagement/types"/>
    <xsd:import namespace="http://schemas.microsoft.com/office/infopath/2007/PartnerControls"/>
    <xsd:element name="FinancialYear" ma:index="13" nillable="true" ma:displayName="Financial Year" ma:default="2023-2024" ma:format="Dropdown" ma:internalName="FinancialYear">
      <xsd:simpleType>
        <xsd:union memberTypes="dms:Text">
          <xsd:simpleType>
            <xsd:restriction base="dms:Choice">
              <xsd:enumeration value="2017-2018"/>
              <xsd:enumeration value="2018-2019"/>
              <xsd:enumeration value="2019-2020"/>
              <xsd:enumeration value="2020-2021"/>
              <xsd:enumeration value="2021-2022"/>
              <xsd:enumeration value="2022-2023"/>
              <xsd:enumeration value="2023-2024"/>
              <xsd:enumeration value="2024-2025"/>
              <xsd:enumeration value="2025-2026"/>
              <xsd:enumeration value="2026-2027"/>
            </xsd:restriction>
          </xsd:simpleType>
        </xsd:union>
      </xsd:simpleType>
    </xsd:element>
    <xsd:element name="RecordID" ma:index="46" nillable="true" ma:displayName="RecordID" ma:hidden="true" ma:internalName="RecordID" ma:readOnly="false">
      <xsd:simpleType>
        <xsd:restriction base="dms:Text">
          <xsd:maxLength value="255"/>
        </xsd:restriction>
      </xsd:simpleType>
    </xsd:element>
    <xsd:element name="PartnerType" ma:index="47" nillable="true" ma:displayName="Partner Type" ma:hidden="true" ma:internalName="PartnerType" ma:readOnly="false">
      <xsd:simpleType>
        <xsd:restriction base="dms:Text">
          <xsd:maxLength value="255"/>
        </xsd:restriction>
      </xsd:simpleType>
    </xsd:element>
    <xsd:element name="zMigrationID" ma:index="50" nillable="true" ma:displayName="zMigrationID" ma:indexed="true" ma:internalName="zMigrationID">
      <xsd:simpleType>
        <xsd:restriction base="dms:Text">
          <xsd:maxLength value="255"/>
        </xsd:restriction>
      </xsd:simpleType>
    </xsd:element>
    <xsd:element name="zLegacy" ma:index="51" nillable="true" ma:displayName="zLegacy" ma:hidden="true" ma:internalName="zLegacy" ma:readOnly="false">
      <xsd:simpleType>
        <xsd:restriction base="dms:Note"/>
      </xsd:simpleType>
    </xsd:element>
    <xsd:element name="zLegacyJSON" ma:index="52" nillable="true" ma:displayName="zLegacyJSON" ma:hidden="true" ma:internalName="zLegacyJS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1a514c-9034-4fa3-897a-8352025b26ed" elementFormDefault="qualified">
    <xsd:import namespace="http://schemas.microsoft.com/office/2006/documentManagement/types"/>
    <xsd:import namespace="http://schemas.microsoft.com/office/infopath/2007/PartnerControls"/>
    <xsd:element name="Year" ma:index="14" nillable="true" ma:displayName="Year" ma:default="2023" ma:format="Dropdown" ma:indexed="true" ma:internalName="Year">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Channel" ma:index="26" nillable="true" ma:displayName="Channel" ma:default="NA" ma:hidden="true" ma:indexed="true" ma:internalName="Channel" ma:readOnly="false">
      <xsd:simpleType>
        <xsd:restriction base="dms:Text">
          <xsd:maxLength value="255"/>
        </xsd:restriction>
      </xsd:simpleType>
    </xsd:element>
    <xsd:element name="Team" ma:index="27" nillable="true" ma:displayName="Team" ma:default="NA" ma:hidden="true" ma:indexed="true" ma:internalName="Team" ma:readOnly="false">
      <xsd:simpleType>
        <xsd:restriction base="dms:Text">
          <xsd:maxLength value="255"/>
        </xsd:restriction>
      </xsd:simpleType>
    </xsd:element>
    <xsd:element name="Level2" ma:index="44" nillable="true" ma:displayName="Level2" ma:default="NA" ma:hidden="true" ma:internalName="Level2" ma:readOnly="false">
      <xsd:simpleType>
        <xsd:restriction base="dms:Text">
          <xsd:maxLength value="255"/>
        </xsd:restriction>
      </xsd:simpleType>
    </xsd:element>
    <xsd:element name="Level3" ma:index="45" nillable="true" ma:displayName="Level3" ma:hidden="true" ma:internalName="Level3"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b055-6eb4-45a1-bc20-bf2ac0d420da" elementFormDefault="qualified">
    <xsd:import namespace="http://schemas.microsoft.com/office/2006/documentManagement/types"/>
    <xsd:import namespace="http://schemas.microsoft.com/office/infopath/2007/PartnerControls"/>
    <xsd:element name="KeyWords" ma:index="15" nillable="true" ma:displayName="Key Words" ma:internalName="KeyWords">
      <xsd:simpleType>
        <xsd:restriction base="dms:Text"/>
      </xsd:simpleType>
    </xsd:element>
    <xsd:element name="SecurityClassification" ma:index="43" nillable="true" ma:displayName="Security Classification" ma:format="Dropdown" ma:hidden="true" ma:internalName="SecurityClassification" ma:readOnly="false">
      <xsd:simpleType>
        <xsd:restriction base="dms:Choice">
          <xsd:enumeration value="Confidential"/>
          <xsd:enumeration value="Restricted"/>
          <xsd:enumeration value="Unrestricted"/>
        </xsd:restriction>
      </xsd:simpleType>
    </xsd:element>
  </xsd:schema>
  <xsd:schema xmlns:xsd="http://www.w3.org/2001/XMLSchema" xmlns:xs="http://www.w3.org/2001/XMLSchema" xmlns:dms="http://schemas.microsoft.com/office/2006/documentManagement/types" xmlns:pc="http://schemas.microsoft.com/office/infopath/2007/PartnerControls" targetNamespace="725c79e5-42ce-4aa0-ac78-b6418001f0d2" elementFormDefault="qualified">
    <xsd:import namespace="http://schemas.microsoft.com/office/2006/documentManagement/types"/>
    <xsd:import namespace="http://schemas.microsoft.com/office/infopath/2007/PartnerControls"/>
    <xsd:element name="AggregationNarrative" ma:index="42" nillable="true" ma:displayName="Aggregation Narrative" ma:hidden="true" ma:internalName="AggregationNarrative"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ubactivity xmlns="4f9c820c-e7e2-444d-97ee-45f2b3485c1d" xsi:nil="true"/>
    <PRADateDisposal xmlns="4f9c820c-e7e2-444d-97ee-45f2b3485c1d" xsi:nil="true"/>
    <BusinessValue xmlns="4f9c820c-e7e2-444d-97ee-45f2b3485c1d" xsi:nil="true"/>
    <zLegacy xmlns="acb26242-dc21-4420-965a-f5c1d8109808" xsi:nil="true"/>
    <KeyWords xmlns="15ffb055-6eb4-45a1-bc20-bf2ac0d420da" xsi:nil="true"/>
    <SecurityClassification xmlns="15ffb055-6eb4-45a1-bc20-bf2ac0d420da" xsi:nil="true"/>
    <PartnerType xmlns="acb26242-dc21-4420-965a-f5c1d8109808" xsi:nil="true"/>
    <Administrative xmlns="cb59e981-3bc6-4f52-8729-00103bb11721" xsi:nil="true"/>
    <ILDate xmlns="cb59e981-3bc6-4f52-8729-00103bb11721" xsi:nil="true"/>
    <PRADate3 xmlns="4f9c820c-e7e2-444d-97ee-45f2b3485c1d" xsi:nil="true"/>
    <PRAText5 xmlns="4f9c820c-e7e2-444d-97ee-45f2b3485c1d" xsi:nil="true"/>
    <Level2 xmlns="c91a514c-9034-4fa3-897a-8352025b26ed">NA</Level2>
    <Activity xmlns="4f9c820c-e7e2-444d-97ee-45f2b3485c1d">Management and Governance</Activity>
    <AggregationStatus xmlns="4f9c820c-e7e2-444d-97ee-45f2b3485c1d">Normal</AggregationStatus>
    <CategoryValue xmlns="4f9c820c-e7e2-444d-97ee-45f2b3485c1d">NA</CategoryValue>
    <PRADate2 xmlns="4f9c820c-e7e2-444d-97ee-45f2b3485c1d" xsi:nil="true"/>
    <fbbc46e6080f4043b8eb3439e6385fb0 xmlns="cb59e981-3bc6-4f52-8729-00103bb11721">
      <Terms xmlns="http://schemas.microsoft.com/office/infopath/2007/PartnerControls"/>
    </fbbc46e6080f4043b8eb3439e6385fb0>
    <Case xmlns="4f9c820c-e7e2-444d-97ee-45f2b3485c1d">Sport NZ</Case>
    <PRAText1 xmlns="4f9c820c-e7e2-444d-97ee-45f2b3485c1d" xsi:nil="true"/>
    <PRAText4 xmlns="4f9c820c-e7e2-444d-97ee-45f2b3485c1d" xsi:nil="true"/>
    <Level3 xmlns="c91a514c-9034-4fa3-897a-8352025b26ed" xsi:nil="true"/>
    <ReadOnlyStatus xmlns="cb59e981-3bc6-4f52-8729-00103bb11721">Open</ReadOnlyStatus>
    <Team xmlns="c91a514c-9034-4fa3-897a-8352025b26ed">NA</Team>
    <zMigrationID xmlns="acb26242-dc21-4420-965a-f5c1d8109808" xsi:nil="true"/>
    <e3343728b5c74b3d8fb6c70eb949629a xmlns="cb59e981-3bc6-4f52-8729-00103bb11721">
      <Terms xmlns="http://schemas.microsoft.com/office/infopath/2007/PartnerControls"/>
    </e3343728b5c74b3d8fb6c70eb949629a>
    <Project xmlns="4f9c820c-e7e2-444d-97ee-45f2b3485c1d">NA</Project>
    <RecordID xmlns="acb26242-dc21-4420-965a-f5c1d8109808" xsi:nil="true"/>
    <zLegacyJSON xmlns="acb26242-dc21-4420-965a-f5c1d8109808" xsi:nil="true"/>
    <FunctionGroup xmlns="4f9c820c-e7e2-444d-97ee-45f2b3485c1d">Sport New Zealand</FunctionGroup>
    <Function xmlns="4f9c820c-e7e2-444d-97ee-45f2b3485c1d">Governance</Function>
    <Channel xmlns="c91a514c-9034-4fa3-897a-8352025b26ed">NA</Channel>
    <RelatedPeople xmlns="4f9c820c-e7e2-444d-97ee-45f2b3485c1d">
      <UserInfo>
        <DisplayName/>
        <AccountId xsi:nil="true"/>
        <AccountType/>
      </UserInfo>
    </RelatedPeople>
    <AggregationNarrative xmlns="725c79e5-42ce-4aa0-ac78-b6418001f0d2" xsi:nil="true"/>
    <PRAType xmlns="4f9c820c-e7e2-444d-97ee-45f2b3485c1d">Doc</PRAType>
    <PRADate1 xmlns="4f9c820c-e7e2-444d-97ee-45f2b3485c1d" xsi:nil="true"/>
    <TaxCatchAll xmlns="542624b3-cffc-481c-adb1-2d25bc83b1e4" xsi:nil="true"/>
    <DocumentType xmlns="4f9c820c-e7e2-444d-97ee-45f2b3485c1d" xsi:nil="true"/>
    <FinancialYear xmlns="acb26242-dc21-4420-965a-f5c1d8109808">2022-2023</FinancialYear>
    <PRAText3 xmlns="4f9c820c-e7e2-444d-97ee-45f2b3485c1d" xsi:nil="true"/>
    <TargetAudience xmlns="cb59e981-3bc6-4f52-8729-00103bb11721">Internal</TargetAudience>
    <Year xmlns="c91a514c-9034-4fa3-897a-8352025b26ed">2022</Year>
    <g8fd85cd35464210baa823c6298a2c0b xmlns="cb59e981-3bc6-4f52-8729-00103bb11721">
      <Terms xmlns="http://schemas.microsoft.com/office/infopath/2007/PartnerControls"/>
    </g8fd85cd35464210baa823c6298a2c0b>
    <Narrative xmlns="4f9c820c-e7e2-444d-97ee-45f2b3485c1d" xsi:nil="true"/>
    <CategoryName xmlns="4f9c820c-e7e2-444d-97ee-45f2b3485c1d" xsi:nil="true"/>
    <PRADateTrigger xmlns="4f9c820c-e7e2-444d-97ee-45f2b3485c1d" xsi:nil="true"/>
    <PRAText2 xmlns="4f9c820c-e7e2-444d-97ee-45f2b3485c1d" xsi:nil="true"/>
    <RDClass xmlns="cb59e981-3bc6-4f52-8729-00103bb11721">TESTCLASS</RDClass>
    <SharedWithUsers xmlns="542624b3-cffc-481c-adb1-2d25bc83b1e4">
      <UserInfo>
        <DisplayName>Ken Smart</DisplayName>
        <AccountId>87</AccountId>
        <AccountType/>
      </UserInfo>
      <UserInfo>
        <DisplayName>Nehalkumar patel</DisplayName>
        <AccountId>157</AccountId>
        <AccountType/>
      </UserInfo>
    </SharedWithUsers>
  </documentManagement>
</p:properties>
</file>

<file path=customXml/itemProps1.xml><?xml version="1.0" encoding="utf-8"?>
<ds:datastoreItem xmlns:ds="http://schemas.openxmlformats.org/officeDocument/2006/customXml" ds:itemID="{AB5FCAC9-4714-484C-BF5F-485181B9A9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59e981-3bc6-4f52-8729-00103bb11721"/>
    <ds:schemaRef ds:uri="542624b3-cffc-481c-adb1-2d25bc83b1e4"/>
    <ds:schemaRef ds:uri="4f9c820c-e7e2-444d-97ee-45f2b3485c1d"/>
    <ds:schemaRef ds:uri="acb26242-dc21-4420-965a-f5c1d8109808"/>
    <ds:schemaRef ds:uri="c91a514c-9034-4fa3-897a-8352025b26ed"/>
    <ds:schemaRef ds:uri="15ffb055-6eb4-45a1-bc20-bf2ac0d420da"/>
    <ds:schemaRef ds:uri="725c79e5-42ce-4aa0-ac78-b6418001f0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F579D7F4-D0D7-4BCB-BBEA-E7C37A64913E}">
  <ds:schemaRefs>
    <ds:schemaRef ds:uri="http://www.w3.org/XML/1998/namespace"/>
    <ds:schemaRef ds:uri="http://schemas.openxmlformats.org/package/2006/metadata/core-properties"/>
    <ds:schemaRef ds:uri="725c79e5-42ce-4aa0-ac78-b6418001f0d2"/>
    <ds:schemaRef ds:uri="542624b3-cffc-481c-adb1-2d25bc83b1e4"/>
    <ds:schemaRef ds:uri="http://schemas.microsoft.com/office/infopath/2007/PartnerControls"/>
    <ds:schemaRef ds:uri="15ffb055-6eb4-45a1-bc20-bf2ac0d420da"/>
    <ds:schemaRef ds:uri="http://purl.org/dc/elements/1.1/"/>
    <ds:schemaRef ds:uri="http://purl.org/dc/dcmitype/"/>
    <ds:schemaRef ds:uri="http://schemas.microsoft.com/office/2006/metadata/properties"/>
    <ds:schemaRef ds:uri="c91a514c-9034-4fa3-897a-8352025b26ed"/>
    <ds:schemaRef ds:uri="http://schemas.microsoft.com/office/2006/documentManagement/types"/>
    <ds:schemaRef ds:uri="acb26242-dc21-4420-965a-f5c1d8109808"/>
    <ds:schemaRef ds:uri="4f9c820c-e7e2-444d-97ee-45f2b3485c1d"/>
    <ds:schemaRef ds:uri="cb59e981-3bc6-4f52-8729-00103bb1172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Paula Ryan</cp:lastModifiedBy>
  <cp:revision/>
  <dcterms:created xsi:type="dcterms:W3CDTF">2010-10-17T20:59:02Z</dcterms:created>
  <dcterms:modified xsi:type="dcterms:W3CDTF">2023-07-30T23:51:25Z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0x0101001E94C3B72383DE4DAA17349E0BBF252600CF303D3B26ED3B43AB85D38A55146184</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y fmtid="{D5CDD505-2E9C-101B-9397-08002B2CF9AE}" pid="11" name="Entity">
    <vt:lpwstr/>
  </property>
  <property fmtid="{D5CDD505-2E9C-101B-9397-08002B2CF9AE}" pid="12" name="Region">
    <vt:lpwstr/>
  </property>
  <property fmtid="{D5CDD505-2E9C-101B-9397-08002B2CF9AE}" pid="13" name="Sport">
    <vt:lpwstr/>
  </property>
</Properties>
</file>