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https://sportnzgroup.sharepoint.com/sites/kcCETeam/TeamManager/2022/"/>
    </mc:Choice>
  </mc:AlternateContent>
  <xr:revisionPtr revIDLastSave="10" documentId="8_{23457C1A-3379-44DE-AF52-ABD252B9C5AC}" xr6:coauthVersionLast="47" xr6:coauthVersionMax="47" xr10:uidLastSave="{F852E206-FECD-4230-9BB2-2057EC49F8E1}"/>
  <bookViews>
    <workbookView xWindow="-120" yWindow="-120" windowWidth="38640" windowHeight="212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expenses'!$A$1:$E$28</definedName>
    <definedName name="_xlnm.Print_Area" localSheetId="5">'Gifts and benefits'!$A$1:$F$54</definedName>
    <definedName name="_xlnm.Print_Area" localSheetId="0">'Guidance for agencies'!$A$1:$A$58</definedName>
    <definedName name="_xlnm.Print_Area" localSheetId="3">Hospitality!$A$1:$E$34</definedName>
    <definedName name="_xlnm.Print_Area" localSheetId="1">'Summary and sign-off'!$A$1:$F$23</definedName>
    <definedName name="_xlnm.Print_Area" localSheetId="2">Travel!$A$1:$E$207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2" i="1" l="1"/>
  <c r="B65" i="1"/>
  <c r="B36" i="1"/>
  <c r="B186" i="1" l="1"/>
  <c r="B156" i="1"/>
  <c r="B142" i="1"/>
  <c r="B139" i="1"/>
  <c r="B99" i="1"/>
  <c r="B89" i="1"/>
  <c r="B86" i="1"/>
  <c r="B153" i="1"/>
  <c r="B150" i="1"/>
  <c r="B124" i="1"/>
  <c r="B155" i="1"/>
  <c r="B147" i="1"/>
  <c r="B145" i="1"/>
  <c r="B141" i="1"/>
  <c r="B138" i="1"/>
  <c r="B137" i="1"/>
  <c r="B130" i="1"/>
  <c r="B128" i="1"/>
  <c r="B118" i="1"/>
  <c r="B117" i="1"/>
  <c r="B115" i="1"/>
  <c r="B74" i="1"/>
  <c r="B76" i="1"/>
  <c r="B102" i="1"/>
  <c r="B185" i="1"/>
  <c r="B182" i="1"/>
  <c r="B126" i="1"/>
  <c r="B113" i="1"/>
  <c r="B110" i="1"/>
  <c r="B107" i="1"/>
  <c r="B104" i="1"/>
  <c r="B101" i="1"/>
  <c r="B94" i="1"/>
  <c r="B91" i="1"/>
  <c r="B88" i="1"/>
  <c r="B85" i="1"/>
  <c r="B81" i="1"/>
  <c r="B72" i="1"/>
  <c r="B71" i="1"/>
  <c r="B79" i="1" l="1"/>
  <c r="B78" i="1"/>
  <c r="B180" i="1"/>
  <c r="B179" i="1"/>
  <c r="B67" i="1"/>
  <c r="B64" i="1" l="1"/>
  <c r="B178" i="1" l="1"/>
  <c r="B62" i="1"/>
  <c r="B61" i="1"/>
  <c r="B176" i="1"/>
  <c r="B175" i="1"/>
  <c r="B53" i="1"/>
  <c r="B59" i="1"/>
  <c r="B55" i="1"/>
  <c r="B51" i="1"/>
  <c r="B48" i="1"/>
  <c r="B174" i="1" l="1"/>
  <c r="B57" i="1"/>
  <c r="B46" i="1" l="1"/>
  <c r="B45" i="1"/>
  <c r="B43" i="1"/>
  <c r="B39" i="1"/>
  <c r="B38" i="1"/>
  <c r="B35" i="1"/>
  <c r="B33" i="1"/>
  <c r="B32" i="1"/>
  <c r="B26" i="1"/>
  <c r="B173" i="1"/>
  <c r="B30" i="1"/>
  <c r="B29" i="1"/>
  <c r="B27" i="1"/>
  <c r="B23" i="1" l="1"/>
  <c r="D43" i="4" l="1"/>
  <c r="C22" i="3"/>
  <c r="C27" i="2"/>
  <c r="C161" i="1"/>
  <c r="C196" i="1"/>
  <c r="C18" i="1"/>
  <c r="B6" i="13" l="1"/>
  <c r="E60" i="13"/>
  <c r="C60" i="13"/>
  <c r="C45" i="4"/>
  <c r="C44" i="4"/>
  <c r="B60" i="13" l="1"/>
  <c r="B59" i="13"/>
  <c r="D59" i="13"/>
  <c r="B58" i="13"/>
  <c r="D58" i="13"/>
  <c r="D57" i="13"/>
  <c r="B57" i="13"/>
  <c r="D56" i="13"/>
  <c r="B56" i="13"/>
  <c r="D55" i="13"/>
  <c r="B55" i="13"/>
  <c r="B2" i="4"/>
  <c r="B3" i="4"/>
  <c r="B2" i="3"/>
  <c r="B3" i="3"/>
  <c r="B2" i="2"/>
  <c r="B3" i="2"/>
  <c r="B2" i="1"/>
  <c r="B3" i="1"/>
  <c r="F58" i="13" l="1"/>
  <c r="D27" i="2" s="1"/>
  <c r="F60" i="13"/>
  <c r="E43" i="4" s="1"/>
  <c r="F59" i="13"/>
  <c r="D22" i="3" s="1"/>
  <c r="F57" i="13"/>
  <c r="D196" i="1" s="1"/>
  <c r="F56" i="13"/>
  <c r="D161" i="1" s="1"/>
  <c r="F55" i="13"/>
  <c r="D18" i="1" s="1"/>
  <c r="C13" i="13"/>
  <c r="C12" i="13"/>
  <c r="C11" i="13"/>
  <c r="C16" i="13" l="1"/>
  <c r="C17" i="13"/>
  <c r="B5" i="4" l="1"/>
  <c r="B4" i="4"/>
  <c r="B5" i="3"/>
  <c r="B4" i="3"/>
  <c r="B5" i="2"/>
  <c r="B4" i="2"/>
  <c r="B5" i="1"/>
  <c r="B4" i="1"/>
  <c r="C15" i="13" l="1"/>
  <c r="F12" i="13" l="1"/>
  <c r="C43" i="4"/>
  <c r="F11" i="13" s="1"/>
  <c r="F13" i="13" l="1"/>
  <c r="B196" i="1"/>
  <c r="B161" i="1"/>
  <c r="B18" i="1"/>
  <c r="B15" i="13" l="1"/>
  <c r="B16" i="13"/>
  <c r="B17" i="13"/>
  <c r="B22" i="3"/>
  <c r="B27" i="2"/>
  <c r="B13" i="13" l="1"/>
  <c r="B12" i="13"/>
  <c r="B11" i="13"/>
  <c r="B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6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<sst xmlns="http://schemas.openxmlformats.org/spreadsheetml/2006/main" count="811" uniqueCount="434">
  <si>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</si>
  <si>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</si>
  <si>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</si>
  <si>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</si>
  <si>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</si>
  <si>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</si>
  <si>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</si>
  <si>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</si>
  <si>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</si>
  <si>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</si>
  <si>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</si>
  <si>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</si>
  <si>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</si>
  <si>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</si>
  <si>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</si>
  <si>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</si>
  <si>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</si>
  <si>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</si>
  <si>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</si>
  <si>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</si>
  <si>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</si>
  <si>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</si>
  <si>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</si>
  <si>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</si>
  <si>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</si>
  <si>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</si>
  <si>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</si>
  <si>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</si>
  <si>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</si>
  <si>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</si>
  <si>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</si>
  <si>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</si>
  <si>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</si>
  <si>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</si>
  <si>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</si>
  <si>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</si>
  <si>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</si>
  <si>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</si>
  <si>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</si>
  <si>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</si>
  <si>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</si>
  <si>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</si>
  <si>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</si>
  <si>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</si>
  <si>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</si>
  <si>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</si>
  <si>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</si>
  <si>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</si>
  <si>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</si>
  <si>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</si>
  <si>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</si>
  <si>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</si>
  <si>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</si>
  <si>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</si>
  <si>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</si>
  <si>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</si>
  <si>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</si>
  <si>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</si>
  <si>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</si>
  <si>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</si>
  <si>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</si>
  <si>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</si>
  <si>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</si>
  <si>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</si>
  <si>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</si>
  <si>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</si>
  <si>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</si>
  <si>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</si>
  <si>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</si>
  <si>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</si>
  <si>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</si>
  <si>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</si>
  <si>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</si>
  <si>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</si>
  <si>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</si>
  <si>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</si>
  <si>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</si>
  <si>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</si>
  <si>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</si>
  <si>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</si>
  <si>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</si>
  <si>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</si>
  <si>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</si>
  <si>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</si>
  <si>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</si>
  <si>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</si>
  <si>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</si>
  <si>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</si>
  <si>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</si>
  <si>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</si>
  <si>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</si>
  <si>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</si>
  <si>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</si>
  <si>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</si>
  <si>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</si>
  <si>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</si>
  <si>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</si>
  <si>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</si>
  <si>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</si>
  <si>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</si>
  <si>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</si>
  <si>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</si>
  <si>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</si>
  <si>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</si>
  <si>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</si>
  <si>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</si>
  <si>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</si>
  <si>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</si>
  <si>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</si>
  <si>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</si>
  <si>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</si>
  <si>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</si>
  <si>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</si>
  <si>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</si>
  <si>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</si>
  <si>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</si>
  <si>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</si>
  <si>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</si>
  <si>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</si>
  <si>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</si>
  <si>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</si>
  <si>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</si>
  <si>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</si>
  <si>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</si>
  <si>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</si>
  <si>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</si>
  <si>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</si>
  <si>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</si>
  <si>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</si>
  <si>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</si>
  <si>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</si>
  <si>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</si>
  <si>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</si>
  <si>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</si>
  <si>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</si>
  <si>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</si>
  <si>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</si>
  <si>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</si>
  <si>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</si>
  <si>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</si>
  <si>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</si>
  <si>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</si>
  <si>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</si>
  <si>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</si>
  <si>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</si>
  <si>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</si>
  <si>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</si>
  <si>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</si>
  <si>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</si>
  <si>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</si>
  <si>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</si>
  <si>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</si>
  <si>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</si>
  <si>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</si>
  <si>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</si>
  <si>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</si>
  <si>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</si>
  <si>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</si>
  <si>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</si>
  <si>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</si>
  <si>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</si>
  <si>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</si>
  <si>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</si>
  <si>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</si>
  <si>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</si>
  <si>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</si>
  <si>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</si>
  <si>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</si>
  <si>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</si>
  <si>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Returning to Wellington post Alert Level change; mtg with Minister</t>
  </si>
  <si>
    <t>airfare (one way)</t>
  </si>
  <si>
    <t>Auckland</t>
  </si>
  <si>
    <t>Uber</t>
  </si>
  <si>
    <t>2-5 July 2021</t>
  </si>
  <si>
    <t>Attending new staff welcome at Auckland office; stakeholder mtg</t>
  </si>
  <si>
    <t>airfare (Wgtn/Akld return)</t>
  </si>
  <si>
    <t>uber x4</t>
  </si>
  <si>
    <t>Auckland &amp; Wellington</t>
  </si>
  <si>
    <t>7-12 July</t>
  </si>
  <si>
    <t>HPSNZ board meeting; internal staff and stakholder meetings; speaking engagement;</t>
  </si>
  <si>
    <t>airfare (Wgtn/Akld return) - changed rtn date to 12/7</t>
  </si>
  <si>
    <t xml:space="preserve">7-12 July 2021 </t>
  </si>
  <si>
    <t>uber x2</t>
  </si>
  <si>
    <t>16 - 20 July 2021</t>
  </si>
  <si>
    <t>Meetings with Akld based staff and stakeholders; HPSNZ SLT mtg</t>
  </si>
  <si>
    <t>airfare</t>
  </si>
  <si>
    <t>Uber x2</t>
  </si>
  <si>
    <t>22 - 27 July 2021</t>
  </si>
  <si>
    <t>5 - 10 Aug 2021</t>
  </si>
  <si>
    <t>Meetings in Akld with NSO; attending Bledisloe Cup; HPSNZ SLT mtg</t>
  </si>
  <si>
    <t>aifare Wn/Akld return</t>
  </si>
  <si>
    <t>uber</t>
  </si>
  <si>
    <t>Sport NZ (Wgtn) and HPSNZ (Akld)</t>
  </si>
  <si>
    <t>Raelene Castle</t>
  </si>
  <si>
    <t>Ticket and hosting All Blacks v Wallabies, Eden Park</t>
  </si>
  <si>
    <t>NZ Rugby</t>
  </si>
  <si>
    <t>Ticket and hosting All Blacks v Argentina test</t>
  </si>
  <si>
    <t>Eden Park Trust</t>
  </si>
  <si>
    <t>ANZ Netball Grand Final</t>
  </si>
  <si>
    <t>Netball NZ</t>
  </si>
  <si>
    <t>Umbrella for speaking engagement</t>
  </si>
  <si>
    <t>Professionelle</t>
  </si>
  <si>
    <t>airfare Wn/QT/Akld/Wn</t>
  </si>
  <si>
    <t>Meetings in Wanaka with local NSO and stakeholder; working in Akld; hosting at The Cloud; returning to Wellington</t>
  </si>
  <si>
    <t>Christchurch</t>
  </si>
  <si>
    <t>Queenstown &amp; Auckland</t>
  </si>
  <si>
    <t>Nuku Ora</t>
  </si>
  <si>
    <t>Guest at Awards presentation for Wgtn Sports Awards</t>
  </si>
  <si>
    <t>Cancelled due to pause in Trans-Tas travel</t>
  </si>
  <si>
    <t>Meeting at Parliament</t>
  </si>
  <si>
    <t>Ticket and hosting, Bledisloe Cup, Eden Park</t>
  </si>
  <si>
    <t>Ticket and hosting Bledisloe Cup, Eden Park</t>
  </si>
  <si>
    <t xml:space="preserve">Speaking at Metro TA Forum, Sport NZ Board meeting, new director induction </t>
  </si>
  <si>
    <t>Wellington</t>
  </si>
  <si>
    <t>Speaking at Metro TA Forum, Kilbirnie</t>
  </si>
  <si>
    <t>11-13/08/2021</t>
  </si>
  <si>
    <t>Meeting in Chch with HPSNZ staff and various local stakeholders; attending funeral</t>
  </si>
  <si>
    <t>accomodation (1 night)</t>
  </si>
  <si>
    <t>Hamilton</t>
  </si>
  <si>
    <t>3 &amp; 4 September</t>
  </si>
  <si>
    <t>Winter Games</t>
  </si>
  <si>
    <t xml:space="preserve">Guest at Sky Big Air Showcase at Cardrona </t>
  </si>
  <si>
    <t>L4 lockdown, return to Auckland</t>
  </si>
  <si>
    <t>Speaking at Women of Influence breakfast series - cost paid by event organiser</t>
  </si>
  <si>
    <t>Wellington &amp; Auckland</t>
  </si>
  <si>
    <r>
      <t xml:space="preserve">Meetings in Chch with cycling community and HPSNZ staff </t>
    </r>
    <r>
      <rPr>
        <sz val="10"/>
        <color rgb="FFFF0000"/>
        <rFont val="Arial"/>
        <family val="2"/>
      </rPr>
      <t>- cancelled L4 lockdown</t>
    </r>
  </si>
  <si>
    <r>
      <t xml:space="preserve">Attend Olivia Podmore's memorial service; meetings with HPSNZ staff - </t>
    </r>
    <r>
      <rPr>
        <sz val="10"/>
        <color rgb="FFFF0000"/>
        <rFont val="Arial"/>
        <family val="2"/>
      </rPr>
      <t>cancelled L4 lockdown</t>
    </r>
  </si>
  <si>
    <t>breakfast 2 pax</t>
  </si>
  <si>
    <t>uber x1</t>
  </si>
  <si>
    <t xml:space="preserve">Introductory lunch meeting with stakeholder, Akld (2 pax) - </t>
  </si>
  <si>
    <t>Breakfast meeting with stakeholder - relationshhip building (2 pax)</t>
  </si>
  <si>
    <t>Cancelled due to alert level change</t>
  </si>
  <si>
    <t>uber x5, taxi x1</t>
  </si>
  <si>
    <t>Lunch 2 pax</t>
  </si>
  <si>
    <t xml:space="preserve">Breakfast 2 pax </t>
  </si>
  <si>
    <t>Meeting with NZOC (Akld, L3.1 lockdown)</t>
  </si>
  <si>
    <t>uberx1 Taxi x1</t>
  </si>
  <si>
    <r>
      <t>WLG/AKL/WLG -</t>
    </r>
    <r>
      <rPr>
        <sz val="10"/>
        <color rgb="FFFF0000"/>
        <rFont val="Arial"/>
        <family val="2"/>
      </rPr>
      <t xml:space="preserve"> cancelled Lockdown</t>
    </r>
  </si>
  <si>
    <r>
      <t>AKL/ROT/AKL -</t>
    </r>
    <r>
      <rPr>
        <sz val="10"/>
        <color rgb="FFFF0000"/>
        <rFont val="Arial"/>
        <family val="2"/>
      </rPr>
      <t xml:space="preserve"> cancelled lockdown</t>
    </r>
  </si>
  <si>
    <t>15-17 December 2021</t>
  </si>
  <si>
    <t>Working from Wellington office</t>
  </si>
  <si>
    <t>Service fees by APX INV357 30/9/21</t>
  </si>
  <si>
    <t>Meeting with NSOs in Auckland (Akd border in place)</t>
  </si>
  <si>
    <t>Attend Sport NZ Board meeting in Auckland</t>
  </si>
  <si>
    <t>uberx2</t>
  </si>
  <si>
    <t>Lunch with NSO chair (2 pax)</t>
  </si>
  <si>
    <t>Meeting with EY</t>
  </si>
  <si>
    <t>uber x3</t>
  </si>
  <si>
    <t>17-19 Jan 2022</t>
  </si>
  <si>
    <t>airfare Akld/Wgtn return</t>
  </si>
  <si>
    <t>Working in Wellington office - internal meetings</t>
  </si>
  <si>
    <t>Airfare</t>
  </si>
  <si>
    <t>Meeting with K3 Consultants</t>
  </si>
  <si>
    <t>Meeting with NZOC</t>
  </si>
  <si>
    <t>Workiing in Wellington - internal meetings and workshops</t>
  </si>
  <si>
    <t>Invercargill</t>
  </si>
  <si>
    <t>Airport parking (4 days)</t>
  </si>
  <si>
    <t>Breakfast 2 pax</t>
  </si>
  <si>
    <t>Tauranga</t>
  </si>
  <si>
    <t>Accommodation (2 nights)</t>
  </si>
  <si>
    <t>Sport Bay of Plenty,mtgs with staff and local stakeholders; ICC CWC opening match</t>
  </si>
  <si>
    <t>ICC CWC match</t>
  </si>
  <si>
    <t xml:space="preserve">Accommodation </t>
  </si>
  <si>
    <t>3/4 March 2022</t>
  </si>
  <si>
    <t>Guest at Opening match ICC Women's Cricket WC</t>
  </si>
  <si>
    <t>Guest at ICC CWC, Australia v England</t>
  </si>
  <si>
    <t>CWC22</t>
  </si>
  <si>
    <t>one-way flight (Akld-Wgtn)</t>
  </si>
  <si>
    <t>27-2 March 2022</t>
  </si>
  <si>
    <t>Working from Wellington Office - internal staff meetings and mtgs with other govt agencies</t>
  </si>
  <si>
    <t>Working in Wellington Office (2 days); speaking at NZR hui</t>
  </si>
  <si>
    <t>10-12 March 2022</t>
  </si>
  <si>
    <t>8-10 March 2022</t>
  </si>
  <si>
    <t>Working from Auckland - staff meetings;</t>
  </si>
  <si>
    <t>15-21 March 2022</t>
  </si>
  <si>
    <t>Halberg Awards</t>
  </si>
  <si>
    <t>Meetings in Wellington</t>
  </si>
  <si>
    <r>
      <t xml:space="preserve">Airfare - </t>
    </r>
    <r>
      <rPr>
        <sz val="10"/>
        <color rgb="FFFF0000"/>
        <rFont val="Arial"/>
        <family val="2"/>
      </rPr>
      <t>cancelled and rebooked for new time</t>
    </r>
  </si>
  <si>
    <t>Lunch meeting with stakeholder - relationship building (2 pax)</t>
  </si>
  <si>
    <t>Breakfast mtg with contractor - discussing project (2 pax)</t>
  </si>
  <si>
    <t>Breakfast meeting with stakeholder - relationship building (2 pax)</t>
  </si>
  <si>
    <t>Breakfast meeting with NSO - relationship building (2 pax)</t>
  </si>
  <si>
    <t>Breakfast, 2 pax</t>
  </si>
  <si>
    <t>Lunch meeting with contractor - discussing project work (2 pax)</t>
  </si>
  <si>
    <t>Breakfast meeting with NSOs - relationship building (3 pax)</t>
  </si>
  <si>
    <t>Breakfast, 3 pax</t>
  </si>
  <si>
    <t>Annual RST visit;guest speaker at event</t>
  </si>
  <si>
    <t>Speaking at NZR event</t>
  </si>
  <si>
    <t>Active Southland RST visit;guest speaker at event</t>
  </si>
  <si>
    <t>10-11 March 2022</t>
  </si>
  <si>
    <t>accommodation</t>
  </si>
  <si>
    <t>Dunedin - one way rental</t>
  </si>
  <si>
    <t>22-28 March 2022</t>
  </si>
  <si>
    <t>7-19 April 2022</t>
  </si>
  <si>
    <t>Working from Akld office; 2-day board mtg in Cambridge</t>
  </si>
  <si>
    <t xml:space="preserve">Working from Auckland office - mtgs with staff, HPSNZ, NZOC, </t>
  </si>
  <si>
    <t xml:space="preserve">Working from Auckland office - mtgs with staff, HPSNZ, NZOC; </t>
  </si>
  <si>
    <t>Working from Auckland office; attending NSO board mtg; mtg with local stakeholder</t>
  </si>
  <si>
    <t>Mileage (Akld-Tauranga/Hamilton rtn)</t>
  </si>
  <si>
    <t>Guest at ICC CWC, Semi final, Basin Reserve</t>
  </si>
  <si>
    <t>Guest at ICC CWC Final, Hagley Oval</t>
  </si>
  <si>
    <t>2-4 April 2022</t>
  </si>
  <si>
    <t>Attending ICC Women's CWC Final at Hagley Oval</t>
  </si>
  <si>
    <t>accommodation (2 nights)</t>
  </si>
  <si>
    <t>31/1 April 2022</t>
  </si>
  <si>
    <t>Gift box - snack food</t>
  </si>
  <si>
    <t>RWC22</t>
  </si>
  <si>
    <t>Blues</t>
  </si>
  <si>
    <t>Working from Akld Office</t>
  </si>
  <si>
    <t>27/28 April 2022</t>
  </si>
  <si>
    <t>Annual RST visit and meetings with local stakeholders</t>
  </si>
  <si>
    <t>New Plymouth</t>
  </si>
  <si>
    <t>Commonweath Day luncheon at Government House</t>
  </si>
  <si>
    <t>NZOC</t>
  </si>
  <si>
    <t>CWC reception, Government House &amp; dinner at Boulcott St Bistro</t>
  </si>
  <si>
    <t>Ticket and hosting at Phoenix match</t>
  </si>
  <si>
    <t>Phoenix FC</t>
  </si>
  <si>
    <t>Taxi</t>
  </si>
  <si>
    <t>Reception at Govt House for ICC Women's Cricket World Cup</t>
  </si>
  <si>
    <t>Luncheon at Govt House with NZOC for Commonweath Day</t>
  </si>
  <si>
    <t>21-27 April 2022</t>
  </si>
  <si>
    <t>airfare (one way Wgtn to Akld)</t>
  </si>
  <si>
    <t>airfare (Akld/New Plymouth rtn)</t>
  </si>
  <si>
    <t>All staff hui; interviews in Wellington</t>
  </si>
  <si>
    <t>airfare (1-way)</t>
  </si>
  <si>
    <t>all staff hui; interviews in Wellington</t>
  </si>
  <si>
    <t>Annual RST visit, meetings with local stakeholders</t>
  </si>
  <si>
    <t>Wgtn/Chch/Akld</t>
  </si>
  <si>
    <t>airfare (Wgtn/Akld rtn)</t>
  </si>
  <si>
    <t>Meeting with Speaker of the House</t>
  </si>
  <si>
    <t>Breakfast meeting with Chair and consultant - discuss upcoming work/project</t>
  </si>
  <si>
    <t xml:space="preserve">Meeting with key stakeholders ahead of Cycling report release </t>
  </si>
  <si>
    <t>airfare (Akld/Chch rtn)</t>
  </si>
  <si>
    <t>15/16 May 2022</t>
  </si>
  <si>
    <t>Guest speaker at Watch Women Win study tour</t>
  </si>
  <si>
    <t>Waiheke Island</t>
  </si>
  <si>
    <t>Accommodation</t>
  </si>
  <si>
    <t>4-23 May 2022</t>
  </si>
  <si>
    <t>4-23/05/2022</t>
  </si>
  <si>
    <t>Moana Pasifika</t>
  </si>
  <si>
    <t>Tickets to Blues v Moana Pasifika, Eden Park</t>
  </si>
  <si>
    <t>Ticket and hosting Moana Pasifika v Warratahs, Akld</t>
  </si>
  <si>
    <t>Ticket and hosting Blues v Rebels</t>
  </si>
  <si>
    <t>Ticket and hosting Blues v Reds</t>
  </si>
  <si>
    <t>Hockey NZ</t>
  </si>
  <si>
    <t>Annual RST visit, meetings with local stakeholders 4/5 May; working from Akld 9-20 May; meeting with Fifa WC officials</t>
  </si>
  <si>
    <t>Christchurch / Auckland</t>
  </si>
  <si>
    <t>Working in Wellington</t>
  </si>
  <si>
    <t>Wgtn/Napier/Akld</t>
  </si>
  <si>
    <t>23-26/05/2022</t>
  </si>
  <si>
    <t>7/8 June 2022</t>
  </si>
  <si>
    <t>Sport Gisborne Tairawhiti annual RST visit</t>
  </si>
  <si>
    <t xml:space="preserve">Airfare </t>
  </si>
  <si>
    <t xml:space="preserve">Akld/Gisborne </t>
  </si>
  <si>
    <t>Accommodaiton</t>
  </si>
  <si>
    <t>Gisborne</t>
  </si>
  <si>
    <t>HPSNZ Board meeting</t>
  </si>
  <si>
    <t>9/10 June 2022</t>
  </si>
  <si>
    <t>Working in Wellington; meetings with Minister</t>
  </si>
  <si>
    <t>Airfare - 1 way Akld to Wgtn</t>
  </si>
  <si>
    <t>13-15 June 2022</t>
  </si>
  <si>
    <t>Sport NZ Board meeting, Waitangi</t>
  </si>
  <si>
    <t>Wgtn/KK/Akld</t>
  </si>
  <si>
    <t>14/15 June 2022</t>
  </si>
  <si>
    <t>Working in Wellington; Estimates Hearing</t>
  </si>
  <si>
    <t>Akld/Wgtn</t>
  </si>
  <si>
    <t>20-22 June 2022</t>
  </si>
  <si>
    <t>22-27 June 2022</t>
  </si>
  <si>
    <t>Working in Auckland office; speaking at IoD breakfast</t>
  </si>
  <si>
    <t>Dinner, 3 pax</t>
  </si>
  <si>
    <t>Dinner with FIFA WWC officials</t>
  </si>
  <si>
    <t>Dinner with CWG Federation &amp; NZOC</t>
  </si>
  <si>
    <t>Ticket and hosting NZ v Australia (W only)</t>
  </si>
  <si>
    <t>26/27 - 30 May 2022</t>
  </si>
  <si>
    <t>26/27-30 May 2022</t>
  </si>
  <si>
    <t>Sport Hawkes Bay annual RST visit; rtn to Wgtn</t>
  </si>
  <si>
    <t>24-28 Jan 2022</t>
  </si>
  <si>
    <t>27 Feb-2 March 2022</t>
  </si>
  <si>
    <t>Taxi x2</t>
  </si>
  <si>
    <t>Ticket and hosting Moana Pasifika v Brumbies, Akld</t>
  </si>
  <si>
    <t>Wgtn to Akld</t>
  </si>
  <si>
    <t>Working in Auckland office</t>
  </si>
  <si>
    <t>Airfare - 1 way</t>
  </si>
  <si>
    <t>working in Auckland office</t>
  </si>
  <si>
    <t xml:space="preserve"> 20 May 2022</t>
  </si>
  <si>
    <t xml:space="preserve">RST visit </t>
  </si>
  <si>
    <t>IRN meeting</t>
  </si>
  <si>
    <t>Sport NZ board dinner at Parliament (3 pax)</t>
  </si>
  <si>
    <t>Dinner meeting with Board Chair and local stakeholder</t>
  </si>
  <si>
    <t>Wgtn/Akld</t>
  </si>
  <si>
    <t>airport parking (overnight)</t>
  </si>
  <si>
    <t xml:space="preserve">Lunch in Chch - meetings with key stakeholders of Cycling Review </t>
  </si>
  <si>
    <t>Ticket and hosting, Blues v Brumbies</t>
  </si>
  <si>
    <t>Ticket and hosting, Black Ferns v Canada</t>
  </si>
  <si>
    <t>Ticket and hosting, Tall Ferns v Philippines</t>
  </si>
  <si>
    <t>Basketball NZ</t>
  </si>
  <si>
    <t>Airport parking</t>
  </si>
  <si>
    <t>Speakng at RST meeting</t>
  </si>
  <si>
    <t xml:space="preserve">Working from Auckland office; partner meeting; </t>
  </si>
  <si>
    <t xml:space="preserve">Working from Auckland office;  partner  meeting; </t>
  </si>
  <si>
    <t>Ticket and hosting, Blues v Crusaders</t>
  </si>
  <si>
    <t>Dinner, 4 pax</t>
  </si>
  <si>
    <t>Speaking at IOD breakfast forum; mtg local stakeholder</t>
  </si>
  <si>
    <t>Uber x3</t>
  </si>
  <si>
    <t>Dinner meeing with NSO</t>
  </si>
  <si>
    <t>airfare - 1 way Wgtn to Akld</t>
  </si>
  <si>
    <t>Dinner with local RST, Akld</t>
  </si>
  <si>
    <t>Fifa WWC23</t>
  </si>
  <si>
    <t>Dinner meeting with NSO Chair and CE - relationship building</t>
  </si>
  <si>
    <t>Dinner meeting staff and Chair Governance Review Committee - thank you</t>
  </si>
  <si>
    <t>Breakfast meeting with potential transition board member</t>
  </si>
  <si>
    <t>Airfare WLG/AKL</t>
  </si>
  <si>
    <t>Ferry ticket</t>
  </si>
  <si>
    <t>uber x4, Taxi x1</t>
  </si>
  <si>
    <t>uber amd Taxi</t>
  </si>
  <si>
    <t>uber and Taxi</t>
  </si>
  <si>
    <t>Uber and Taxi</t>
  </si>
  <si>
    <t>Airfares Akl/WLG/AKL</t>
  </si>
  <si>
    <t>NO INTERNATIONAL TRAVEL DURING THIS PERIOD</t>
  </si>
  <si>
    <t>airfare - used credit</t>
  </si>
  <si>
    <t>uber x7</t>
  </si>
  <si>
    <t>Working from Auckland office</t>
  </si>
  <si>
    <t>Uberx1</t>
  </si>
  <si>
    <t>Working in Wellington - credit used</t>
  </si>
  <si>
    <t>Did not attend</t>
  </si>
  <si>
    <t>Lunch 4 pax</t>
  </si>
  <si>
    <t>Uber x3 &amp; taxi x1</t>
  </si>
  <si>
    <t>Uberx3</t>
  </si>
  <si>
    <t>Akld/Tauranga/Hamilton/Akld</t>
  </si>
  <si>
    <t>Wellington &amp; Invercargill</t>
  </si>
  <si>
    <t>rental car - flight diverted to Dunedin, drove Dn to Inv</t>
  </si>
  <si>
    <t>27-29 June 2022</t>
  </si>
  <si>
    <t>Working in Wellington; recruitment interviews</t>
  </si>
  <si>
    <t>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</si>
</sst>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quot;$&quot;#,##0.00;[Red]&quot;$&quot;#,##0.00"/>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10"/>
      <color rgb="FFFF0000"/>
      <name val="Arial"/>
      <family val="2"/>
    </font>
    <font>
      <sz val="8"/>
      <color rgb="FFFF0000"/>
      <name val="Arial"/>
      <family val="2"/>
    </font>
    <font>
      <strike/>
      <sz val="10"/>
      <name val="Arial"/>
      <family val="2"/>
    </font>
    <font>
      <strike/>
      <sz val="10"/>
      <color theme="1"/>
      <name val="Arial"/>
      <family val="2"/>
    </font>
  </fonts>
  <fills count="15">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theme="8" tint="0.79998168889431442"/>
        <bgColor indexed="64"/>
      </patternFill>
    </fill>
    <fill>
      <patternFill patternType="solid">
        <fgColor rgb="FF006600"/>
        <bgColor indexed="64"/>
      </patternFill>
    </fill>
    <fill>
      <patternFill patternType="solid">
        <fgColor rgb="FF00800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22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15" fillId="12" borderId="3" xfId="0" applyNumberFormat="1" applyFont="1" applyFill="1" applyBorder="1" applyAlignment="1" applyProtection="1">
      <alignment horizontal="left" vertical="center"/>
      <protection locked="0"/>
    </xf>
    <xf numFmtId="164" fontId="15" fillId="12" borderId="4" xfId="0" applyNumberFormat="1" applyFont="1" applyFill="1" applyBorder="1" applyAlignment="1" applyProtection="1">
      <alignment vertical="center" wrapText="1"/>
      <protection locked="0"/>
    </xf>
    <xf numFmtId="0" fontId="15" fillId="12" borderId="4" xfId="0" applyFont="1" applyFill="1" applyBorder="1" applyAlignment="1" applyProtection="1">
      <alignment vertical="center" wrapText="1"/>
      <protection locked="0"/>
    </xf>
    <xf numFmtId="0" fontId="15" fillId="12" borderId="5" xfId="0" applyFont="1" applyFill="1" applyBorder="1" applyAlignment="1" applyProtection="1">
      <alignment vertical="center" wrapText="1"/>
      <protection locked="0"/>
    </xf>
    <xf numFmtId="167" fontId="15" fillId="12" borderId="3" xfId="0" applyNumberFormat="1" applyFont="1" applyFill="1" applyBorder="1" applyAlignment="1" applyProtection="1">
      <alignment vertical="center"/>
      <protection locked="0"/>
    </xf>
    <xf numFmtId="0" fontId="0" fillId="12" borderId="0" xfId="0" applyFill="1" applyProtection="1">
      <protection locked="0"/>
    </xf>
    <xf numFmtId="164"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center"/>
      <protection locked="0"/>
    </xf>
    <xf numFmtId="0" fontId="15" fillId="0" borderId="4"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0" fontId="0" fillId="0" borderId="0" xfId="0" applyFill="1" applyProtection="1">
      <protection locked="0"/>
    </xf>
    <xf numFmtId="0" fontId="1" fillId="0" borderId="0" xfId="0" applyFont="1" applyBorder="1" applyAlignment="1" applyProtection="1">
      <alignment vertical="center" wrapText="1"/>
      <protection locked="0"/>
    </xf>
    <xf numFmtId="168" fontId="0" fillId="0" borderId="0" xfId="0" applyNumberFormat="1" applyAlignment="1" applyProtection="1">
      <alignment wrapText="1"/>
      <protection locked="0"/>
    </xf>
    <xf numFmtId="167" fontId="15" fillId="13" borderId="3" xfId="0" applyNumberFormat="1" applyFont="1" applyFill="1" applyBorder="1" applyAlignment="1" applyProtection="1">
      <alignment vertical="center"/>
      <protection locked="0"/>
    </xf>
    <xf numFmtId="164" fontId="15" fillId="13" borderId="4" xfId="0" applyNumberFormat="1" applyFont="1" applyFill="1" applyBorder="1" applyAlignment="1" applyProtection="1">
      <alignment vertical="center" wrapText="1"/>
      <protection locked="0"/>
    </xf>
    <xf numFmtId="0" fontId="15" fillId="13" borderId="4" xfId="0" applyFont="1" applyFill="1" applyBorder="1" applyAlignment="1" applyProtection="1">
      <alignment vertical="center" wrapText="1"/>
      <protection locked="0"/>
    </xf>
    <xf numFmtId="0" fontId="15" fillId="13" borderId="5" xfId="0" applyFont="1" applyFill="1" applyBorder="1" applyAlignment="1" applyProtection="1">
      <alignment vertical="center" wrapText="1"/>
      <protection locked="0"/>
    </xf>
    <xf numFmtId="167" fontId="15" fillId="13" borderId="3" xfId="0" applyNumberFormat="1" applyFont="1" applyFill="1" applyBorder="1" applyAlignment="1" applyProtection="1">
      <alignment horizontal="left" vertical="center"/>
      <protection locked="0"/>
    </xf>
    <xf numFmtId="0" fontId="38" fillId="0" borderId="0" xfId="0" applyFont="1" applyAlignment="1" applyProtection="1">
      <alignment wrapText="1"/>
      <protection locked="0"/>
    </xf>
    <xf numFmtId="167" fontId="15" fillId="14" borderId="3" xfId="0" applyNumberFormat="1" applyFont="1" applyFill="1" applyBorder="1" applyAlignment="1" applyProtection="1">
      <alignment horizontal="left" vertical="center"/>
      <protection locked="0"/>
    </xf>
    <xf numFmtId="164" fontId="15" fillId="14" borderId="4" xfId="0" applyNumberFormat="1" applyFont="1" applyFill="1" applyBorder="1" applyAlignment="1" applyProtection="1">
      <alignment vertical="center" wrapText="1"/>
      <protection locked="0"/>
    </xf>
    <xf numFmtId="0" fontId="15" fillId="14" borderId="4" xfId="0" applyFont="1" applyFill="1" applyBorder="1" applyAlignment="1" applyProtection="1">
      <alignment vertical="center" wrapText="1"/>
      <protection locked="0"/>
    </xf>
    <xf numFmtId="0" fontId="15" fillId="14" borderId="5" xfId="0" applyFont="1" applyFill="1" applyBorder="1" applyAlignment="1" applyProtection="1">
      <alignment vertical="center" wrapText="1"/>
      <protection locked="0"/>
    </xf>
    <xf numFmtId="164" fontId="37" fillId="0" borderId="4" xfId="0" applyNumberFormat="1" applyFont="1" applyFill="1" applyBorder="1" applyAlignment="1" applyProtection="1">
      <alignment vertical="center" wrapText="1"/>
      <protection locked="0"/>
    </xf>
    <xf numFmtId="167" fontId="39" fillId="11" borderId="3" xfId="0" applyNumberFormat="1" applyFont="1" applyFill="1" applyBorder="1" applyAlignment="1" applyProtection="1">
      <alignment vertical="center"/>
      <protection locked="0"/>
    </xf>
    <xf numFmtId="0" fontId="40" fillId="11" borderId="4" xfId="0" applyFont="1" applyFill="1" applyBorder="1" applyAlignment="1" applyProtection="1">
      <alignment vertical="center" wrapText="1"/>
      <protection locked="0"/>
    </xf>
    <xf numFmtId="0" fontId="39" fillId="11" borderId="4" xfId="0" applyNumberFormat="1" applyFont="1" applyFill="1" applyBorder="1" applyAlignment="1" applyProtection="1">
      <alignment horizontal="left" vertical="center" wrapText="1"/>
      <protection locked="0"/>
    </xf>
    <xf numFmtId="164" fontId="39" fillId="11" borderId="4" xfId="0" applyNumberFormat="1" applyFont="1" applyFill="1" applyBorder="1" applyAlignment="1" applyProtection="1">
      <alignment horizontal="right" vertical="center" wrapText="1"/>
      <protection locked="0"/>
    </xf>
    <xf numFmtId="167" fontId="15" fillId="11" borderId="3" xfId="0"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6600"/>
      <color rgb="FF008000"/>
      <color rgb="FF99FF99"/>
      <color rgb="FF00FF00"/>
      <color rgb="FFCC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28" zoomScaleNormal="100" workbookViewId="0">
      <selection activeCell="A31" sqref="A31"/>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6" sqref="B6:F6"/>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28515625" style="16" hidden="1" customWidth="1"/>
    <col min="12" max="16384" width="9.28515625" style="16" hidden="1"/>
  </cols>
  <sheetData>
    <row r="1" spans="1:11" ht="26.25" customHeight="1" x14ac:dyDescent="0.2">
      <c r="A1" s="203" t="s">
        <v>51</v>
      </c>
      <c r="B1" s="203"/>
      <c r="C1" s="203"/>
      <c r="D1" s="203"/>
      <c r="E1" s="203"/>
      <c r="F1" s="203"/>
      <c r="G1" s="46"/>
      <c r="H1" s="46"/>
      <c r="I1" s="46"/>
      <c r="J1" s="46"/>
      <c r="K1" s="46"/>
    </row>
    <row r="2" spans="1:11" ht="21" customHeight="1" x14ac:dyDescent="0.2">
      <c r="A2" s="4" t="s">
        <v>52</v>
      </c>
      <c r="B2" s="204" t="s">
        <v>192</v>
      </c>
      <c r="C2" s="204"/>
      <c r="D2" s="204"/>
      <c r="E2" s="204"/>
      <c r="F2" s="204"/>
      <c r="G2" s="46"/>
      <c r="H2" s="46"/>
      <c r="I2" s="46"/>
      <c r="J2" s="46"/>
      <c r="K2" s="46"/>
    </row>
    <row r="3" spans="1:11" ht="21" customHeight="1" x14ac:dyDescent="0.2">
      <c r="A3" s="4" t="s">
        <v>53</v>
      </c>
      <c r="B3" s="204" t="s">
        <v>193</v>
      </c>
      <c r="C3" s="204"/>
      <c r="D3" s="204"/>
      <c r="E3" s="204"/>
      <c r="F3" s="204"/>
      <c r="G3" s="46"/>
      <c r="H3" s="46"/>
      <c r="I3" s="46"/>
      <c r="J3" s="46"/>
      <c r="K3" s="46"/>
    </row>
    <row r="4" spans="1:11" ht="21" customHeight="1" x14ac:dyDescent="0.2">
      <c r="A4" s="4" t="s">
        <v>54</v>
      </c>
      <c r="B4" s="205">
        <v>44378</v>
      </c>
      <c r="C4" s="205"/>
      <c r="D4" s="205"/>
      <c r="E4" s="205"/>
      <c r="F4" s="205"/>
      <c r="G4" s="46"/>
      <c r="H4" s="46"/>
      <c r="I4" s="46"/>
      <c r="J4" s="46"/>
      <c r="K4" s="46"/>
    </row>
    <row r="5" spans="1:11" ht="21" customHeight="1" x14ac:dyDescent="0.2">
      <c r="A5" s="4" t="s">
        <v>55</v>
      </c>
      <c r="B5" s="205">
        <v>44742</v>
      </c>
      <c r="C5" s="205"/>
      <c r="D5" s="205"/>
      <c r="E5" s="205"/>
      <c r="F5" s="205"/>
      <c r="G5" s="46"/>
      <c r="H5" s="46"/>
      <c r="I5" s="46"/>
      <c r="J5" s="46"/>
      <c r="K5" s="46"/>
    </row>
    <row r="6" spans="1:11" ht="21" customHeight="1" x14ac:dyDescent="0.2">
      <c r="A6" s="4" t="s">
        <v>56</v>
      </c>
      <c r="B6" s="202" t="str">
        <f>IF(AND(Travel!B7&lt;&gt;A30,Hospitality!B7&lt;&gt;A30,'All other expenses'!B7&lt;&gt;A30,'Gifts and benefits'!B7&lt;&gt;A30),A31,IF(AND(Travel!B7=A30,Hospitality!B7=A30,'All other expenses'!B7=A30,'Gifts and benefits'!B7=A30),A33,A32))</f>
        <v>Data and totals checked on all sheets</v>
      </c>
      <c r="C6" s="202"/>
      <c r="D6" s="202"/>
      <c r="E6" s="202"/>
      <c r="F6" s="202"/>
      <c r="G6" s="34"/>
      <c r="H6" s="46"/>
      <c r="I6" s="46"/>
      <c r="J6" s="46"/>
      <c r="K6" s="46"/>
    </row>
    <row r="7" spans="1:11" ht="21" customHeight="1" x14ac:dyDescent="0.2">
      <c r="A7" s="4" t="s">
        <v>57</v>
      </c>
      <c r="B7" s="201" t="s">
        <v>89</v>
      </c>
      <c r="C7" s="201"/>
      <c r="D7" s="201"/>
      <c r="E7" s="201"/>
      <c r="F7" s="201"/>
      <c r="G7" s="34"/>
      <c r="H7" s="46"/>
      <c r="I7" s="46"/>
      <c r="J7" s="46"/>
      <c r="K7" s="46"/>
    </row>
    <row r="8" spans="1:11" ht="21" customHeight="1" x14ac:dyDescent="0.2">
      <c r="A8" s="4" t="s">
        <v>59</v>
      </c>
      <c r="B8" s="201" t="s">
        <v>433</v>
      </c>
      <c r="C8" s="201"/>
      <c r="D8" s="201"/>
      <c r="E8" s="201"/>
      <c r="F8" s="201"/>
      <c r="G8" s="34"/>
      <c r="H8" s="46"/>
      <c r="I8" s="46"/>
      <c r="J8" s="46"/>
      <c r="K8" s="46"/>
    </row>
    <row r="9" spans="1:11" ht="66.75" customHeight="1" x14ac:dyDescent="0.2">
      <c r="A9" s="200" t="s">
        <v>60</v>
      </c>
      <c r="B9" s="200"/>
      <c r="C9" s="200"/>
      <c r="D9" s="200"/>
      <c r="E9" s="200"/>
      <c r="F9" s="200"/>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19384.920000000013</v>
      </c>
      <c r="C11" s="102" t="str">
        <f>IF(Travel!B6="",A34,Travel!B6)</f>
        <v>Figures exclude GST</v>
      </c>
      <c r="D11" s="8"/>
      <c r="E11" s="10" t="s">
        <v>66</v>
      </c>
      <c r="F11" s="56">
        <f>'Gifts and benefits'!C43</f>
        <v>29</v>
      </c>
      <c r="G11" s="47"/>
      <c r="H11" s="47"/>
      <c r="I11" s="47"/>
      <c r="J11" s="47"/>
      <c r="K11" s="47"/>
    </row>
    <row r="12" spans="1:11" ht="27.75" customHeight="1" x14ac:dyDescent="0.2">
      <c r="A12" s="10" t="s">
        <v>24</v>
      </c>
      <c r="B12" s="94">
        <f>Hospitality!B27</f>
        <v>1303.17</v>
      </c>
      <c r="C12" s="102" t="str">
        <f>IF(Hospitality!B6="",A34,Hospitality!B6)</f>
        <v>Figures exclude GST</v>
      </c>
      <c r="D12" s="8"/>
      <c r="E12" s="10" t="s">
        <v>67</v>
      </c>
      <c r="F12" s="56">
        <f>'Gifts and benefits'!C44</f>
        <v>18</v>
      </c>
      <c r="G12" s="47"/>
      <c r="H12" s="47"/>
      <c r="I12" s="47"/>
      <c r="J12" s="47"/>
      <c r="K12" s="47"/>
    </row>
    <row r="13" spans="1:11" ht="27.75" customHeight="1" x14ac:dyDescent="0.2">
      <c r="A13" s="10" t="s">
        <v>68</v>
      </c>
      <c r="B13" s="94">
        <f>'All other expenses'!B22</f>
        <v>0</v>
      </c>
      <c r="C13" s="102" t="str">
        <f>IF('All other expenses'!B6="",A34,'All other expenses'!B6)</f>
        <v>Figures exclude GST</v>
      </c>
      <c r="D13" s="8"/>
      <c r="E13" s="10" t="s">
        <v>69</v>
      </c>
      <c r="F13" s="56">
        <f>'Gifts and benefits'!C45</f>
        <v>11</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Travel!B18</f>
        <v>0</v>
      </c>
      <c r="C15" s="104" t="str">
        <f>C11</f>
        <v>Figures exclude GST</v>
      </c>
      <c r="D15" s="8"/>
      <c r="E15" s="8"/>
      <c r="F15" s="58"/>
      <c r="G15" s="46"/>
      <c r="H15" s="46"/>
      <c r="I15" s="46"/>
      <c r="J15" s="46"/>
      <c r="K15" s="46"/>
    </row>
    <row r="16" spans="1:11" ht="27.75" customHeight="1" x14ac:dyDescent="0.2">
      <c r="A16" s="11" t="s">
        <v>71</v>
      </c>
      <c r="B16" s="96">
        <f>Travel!B161</f>
        <v>18723.240000000013</v>
      </c>
      <c r="C16" s="104" t="str">
        <f>C11</f>
        <v>Figures exclude GST</v>
      </c>
      <c r="D16" s="59"/>
      <c r="E16" s="8"/>
      <c r="F16" s="60"/>
      <c r="G16" s="46"/>
      <c r="H16" s="46"/>
      <c r="I16" s="46"/>
      <c r="J16" s="46"/>
      <c r="K16" s="46"/>
    </row>
    <row r="17" spans="1:11" ht="27.75" customHeight="1" x14ac:dyDescent="0.2">
      <c r="A17" s="11" t="s">
        <v>72</v>
      </c>
      <c r="B17" s="96">
        <f>Travel!B196</f>
        <v>661.67999999999984</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75" customHeight="1" x14ac:dyDescent="0.2">
      <c r="A21" s="23" t="s">
        <v>75</v>
      </c>
      <c r="B21" s="53"/>
      <c r="C21" s="53"/>
      <c r="D21" s="20"/>
      <c r="E21" s="27"/>
      <c r="F21" s="27"/>
      <c r="G21" s="27"/>
      <c r="H21" s="27"/>
      <c r="I21" s="27"/>
      <c r="J21" s="27"/>
      <c r="K21" s="27"/>
    </row>
    <row r="22" spans="1:11" ht="12.75" customHeight="1" x14ac:dyDescent="0.2">
      <c r="A22" s="23" t="s">
        <v>76</v>
      </c>
      <c r="B22" s="53"/>
      <c r="C22" s="53"/>
      <c r="D22" s="20"/>
      <c r="E22" s="27"/>
      <c r="F22" s="27"/>
      <c r="G22" s="27"/>
      <c r="H22" s="27"/>
      <c r="I22" s="27"/>
      <c r="J22" s="27"/>
      <c r="K22" s="27"/>
    </row>
    <row r="23" spans="1:11" ht="12.75"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COUNT(Travel!B12:B17)</f>
        <v>0</v>
      </c>
      <c r="C55" s="111"/>
      <c r="D55" s="111">
        <f>COUNTIF(Travel!D12:D17,"*")</f>
        <v>0</v>
      </c>
      <c r="E55" s="112"/>
      <c r="F55" s="112" t="b">
        <f>MIN(B55,D55)=MAX(B55,D55)</f>
        <v>1</v>
      </c>
      <c r="G55" s="46"/>
      <c r="H55" s="46"/>
      <c r="I55" s="46"/>
      <c r="J55" s="46"/>
      <c r="K55" s="46"/>
    </row>
    <row r="56" spans="1:11" hidden="1" x14ac:dyDescent="0.2">
      <c r="A56" s="121" t="s">
        <v>105</v>
      </c>
      <c r="B56" s="111">
        <f>COUNT(Travel!B22:B160)</f>
        <v>91</v>
      </c>
      <c r="C56" s="111"/>
      <c r="D56" s="111">
        <f>COUNTIF(Travel!D22:D160,"*")</f>
        <v>90</v>
      </c>
      <c r="E56" s="112"/>
      <c r="F56" s="112" t="b">
        <f>MIN(B56,D56)=MAX(B56,D56)</f>
        <v>0</v>
      </c>
    </row>
    <row r="57" spans="1:11" hidden="1" x14ac:dyDescent="0.2">
      <c r="A57" s="122"/>
      <c r="B57" s="111">
        <f>COUNT(Travel!B165:B195)</f>
        <v>29</v>
      </c>
      <c r="C57" s="111"/>
      <c r="D57" s="111">
        <f>COUNTIF(Travel!D165:D195,"*")</f>
        <v>29</v>
      </c>
      <c r="E57" s="112"/>
      <c r="F57" s="112" t="b">
        <f>MIN(B57,D57)=MAX(B57,D57)</f>
        <v>1</v>
      </c>
    </row>
    <row r="58" spans="1:11" hidden="1" x14ac:dyDescent="0.2">
      <c r="A58" s="123" t="s">
        <v>106</v>
      </c>
      <c r="B58" s="113">
        <f>COUNT(Hospitality!B11:B26)</f>
        <v>14</v>
      </c>
      <c r="C58" s="113"/>
      <c r="D58" s="113">
        <f>COUNTIF(Hospitality!D11:D26,"*")</f>
        <v>14</v>
      </c>
      <c r="E58" s="114"/>
      <c r="F58" s="114" t="b">
        <f>MIN(B58,D58)=MAX(B58,D58)</f>
        <v>1</v>
      </c>
    </row>
    <row r="59" spans="1:11" hidden="1" x14ac:dyDescent="0.2">
      <c r="A59" s="124" t="s">
        <v>107</v>
      </c>
      <c r="B59" s="112">
        <f>COUNT('All other expenses'!B11:B21)</f>
        <v>0</v>
      </c>
      <c r="C59" s="112"/>
      <c r="D59" s="112">
        <f>COUNTIF('All other expenses'!D11:D21,"*")</f>
        <v>0</v>
      </c>
      <c r="E59" s="112"/>
      <c r="F59" s="112" t="b">
        <f>MIN(B59,D59)=MAX(B59,D59)</f>
        <v>1</v>
      </c>
    </row>
    <row r="60" spans="1:11" hidden="1" x14ac:dyDescent="0.2">
      <c r="A60" s="123" t="s">
        <v>108</v>
      </c>
      <c r="B60" s="113">
        <f>COUNTIF('Gifts and benefits'!B11:B42,"*")</f>
        <v>29</v>
      </c>
      <c r="C60" s="113">
        <f>COUNTIF('Gifts and benefits'!C11:C42,"*")</f>
        <v>29</v>
      </c>
      <c r="D60" s="113"/>
      <c r="E60" s="113">
        <f>COUNTA('Gifts and benefits'!E11:E42)</f>
        <v>29</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13"/>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28515625" style="16" hidden="1" customWidth="1"/>
    <col min="10" max="13" width="0" style="16" hidden="1" customWidth="1"/>
    <col min="14" max="16384" width="9.28515625" style="16" hidden="1"/>
  </cols>
  <sheetData>
    <row r="1" spans="1:6" ht="26.25" customHeight="1" x14ac:dyDescent="0.2">
      <c r="A1" s="203" t="s">
        <v>109</v>
      </c>
      <c r="B1" s="203"/>
      <c r="C1" s="203"/>
      <c r="D1" s="203"/>
      <c r="E1" s="203"/>
      <c r="F1" s="46"/>
    </row>
    <row r="2" spans="1:6" ht="21" customHeight="1" x14ac:dyDescent="0.2">
      <c r="A2" s="4" t="s">
        <v>52</v>
      </c>
      <c r="B2" s="206" t="str">
        <f>'Summary and sign-off'!B2:F2</f>
        <v>Sport NZ (Wgtn) and HPSNZ (Akld)</v>
      </c>
      <c r="C2" s="206"/>
      <c r="D2" s="206"/>
      <c r="E2" s="206"/>
      <c r="F2" s="46"/>
    </row>
    <row r="3" spans="1:6" ht="21" customHeight="1" x14ac:dyDescent="0.2">
      <c r="A3" s="4" t="s">
        <v>110</v>
      </c>
      <c r="B3" s="206" t="str">
        <f>'Summary and sign-off'!B3:F3</f>
        <v>Raelene Castle</v>
      </c>
      <c r="C3" s="206"/>
      <c r="D3" s="206"/>
      <c r="E3" s="206"/>
      <c r="F3" s="46"/>
    </row>
    <row r="4" spans="1:6" ht="21" customHeight="1" x14ac:dyDescent="0.2">
      <c r="A4" s="4" t="s">
        <v>111</v>
      </c>
      <c r="B4" s="206">
        <f>'Summary and sign-off'!B4:F4</f>
        <v>44378</v>
      </c>
      <c r="C4" s="206"/>
      <c r="D4" s="206"/>
      <c r="E4" s="206"/>
      <c r="F4" s="46"/>
    </row>
    <row r="5" spans="1:6" ht="21" customHeight="1" x14ac:dyDescent="0.2">
      <c r="A5" s="4" t="s">
        <v>112</v>
      </c>
      <c r="B5" s="206">
        <f>'Summary and sign-off'!B5:F5</f>
        <v>44742</v>
      </c>
      <c r="C5" s="206"/>
      <c r="D5" s="206"/>
      <c r="E5" s="206"/>
      <c r="F5" s="46"/>
    </row>
    <row r="6" spans="1:6" ht="21" customHeight="1" x14ac:dyDescent="0.2">
      <c r="A6" s="4" t="s">
        <v>113</v>
      </c>
      <c r="B6" s="201" t="s">
        <v>81</v>
      </c>
      <c r="C6" s="201"/>
      <c r="D6" s="201"/>
      <c r="E6" s="201"/>
      <c r="F6" s="46"/>
    </row>
    <row r="7" spans="1:6" ht="21" customHeight="1" x14ac:dyDescent="0.2">
      <c r="A7" s="4" t="s">
        <v>56</v>
      </c>
      <c r="B7" s="201" t="s">
        <v>83</v>
      </c>
      <c r="C7" s="201"/>
      <c r="D7" s="201"/>
      <c r="E7" s="201"/>
      <c r="F7" s="46"/>
    </row>
    <row r="8" spans="1:6" ht="36" customHeight="1" x14ac:dyDescent="0.2">
      <c r="A8" s="209" t="s">
        <v>114</v>
      </c>
      <c r="B8" s="210"/>
      <c r="C8" s="210"/>
      <c r="D8" s="210"/>
      <c r="E8" s="210"/>
      <c r="F8" s="22"/>
    </row>
    <row r="9" spans="1:6" ht="36" customHeight="1" x14ac:dyDescent="0.2">
      <c r="A9" s="211" t="s">
        <v>115</v>
      </c>
      <c r="B9" s="212"/>
      <c r="C9" s="212"/>
      <c r="D9" s="212"/>
      <c r="E9" s="212"/>
      <c r="F9" s="22"/>
    </row>
    <row r="10" spans="1:6" ht="24.75" customHeight="1" x14ac:dyDescent="0.2">
      <c r="A10" s="208" t="s">
        <v>116</v>
      </c>
      <c r="B10" s="213"/>
      <c r="C10" s="208"/>
      <c r="D10" s="208"/>
      <c r="E10" s="208"/>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7"/>
      <c r="B13" s="158"/>
      <c r="C13" s="159" t="s">
        <v>418</v>
      </c>
      <c r="D13" s="159"/>
      <c r="E13" s="160"/>
      <c r="F13" s="1"/>
    </row>
    <row r="14" spans="1:6" s="87" customFormat="1" x14ac:dyDescent="0.2">
      <c r="A14" s="157"/>
      <c r="B14" s="158"/>
      <c r="C14" s="159"/>
      <c r="D14" s="159"/>
      <c r="E14" s="160"/>
      <c r="F14" s="1"/>
    </row>
    <row r="15" spans="1:6" s="87" customFormat="1" x14ac:dyDescent="0.2">
      <c r="A15" s="157"/>
      <c r="B15" s="158"/>
      <c r="C15" s="159"/>
      <c r="D15" s="159"/>
      <c r="E15" s="160"/>
      <c r="F15" s="1"/>
    </row>
    <row r="16" spans="1:6" s="87" customFormat="1" x14ac:dyDescent="0.2">
      <c r="A16" s="161"/>
      <c r="B16" s="158"/>
      <c r="C16" s="159"/>
      <c r="D16" s="159"/>
      <c r="E16" s="160"/>
      <c r="F16" s="1"/>
    </row>
    <row r="17" spans="1:6" s="87" customFormat="1" hidden="1" x14ac:dyDescent="0.2">
      <c r="A17" s="143"/>
      <c r="B17" s="144"/>
      <c r="C17" s="145"/>
      <c r="D17" s="145"/>
      <c r="E17" s="146"/>
      <c r="F17" s="1"/>
    </row>
    <row r="18" spans="1:6" ht="19.5" customHeight="1" x14ac:dyDescent="0.2">
      <c r="A18" s="107" t="s">
        <v>122</v>
      </c>
      <c r="B18" s="108">
        <f>SUM(B12:B17)</f>
        <v>0</v>
      </c>
      <c r="C18" s="168" t="str">
        <f>IF(SUBTOTAL(3,B12:B17)=SUBTOTAL(103,B12:B17),'Summary and sign-off'!$A$48,'Summary and sign-off'!$A$49)</f>
        <v>Check - there are no hidden rows with data</v>
      </c>
      <c r="D18" s="207" t="str">
        <f>IF('Summary and sign-off'!F55='Summary and sign-off'!F54,'Summary and sign-off'!A51,'Summary and sign-off'!A50)</f>
        <v>Check - each entry provides sufficient information</v>
      </c>
      <c r="E18" s="207"/>
      <c r="F18" s="46"/>
    </row>
    <row r="19" spans="1:6" ht="10.5" customHeight="1" x14ac:dyDescent="0.2">
      <c r="A19" s="27"/>
      <c r="B19" s="22"/>
      <c r="C19" s="27"/>
      <c r="D19" s="27"/>
      <c r="E19" s="27"/>
      <c r="F19" s="27"/>
    </row>
    <row r="20" spans="1:6" ht="24.75" customHeight="1" x14ac:dyDescent="0.2">
      <c r="A20" s="208" t="s">
        <v>123</v>
      </c>
      <c r="B20" s="208"/>
      <c r="C20" s="208"/>
      <c r="D20" s="208"/>
      <c r="E20" s="208"/>
      <c r="F20" s="47"/>
    </row>
    <row r="21" spans="1:6" ht="27" customHeight="1" x14ac:dyDescent="0.2">
      <c r="A21" s="35" t="s">
        <v>117</v>
      </c>
      <c r="B21" s="35" t="s">
        <v>62</v>
      </c>
      <c r="C21" s="35" t="s">
        <v>124</v>
      </c>
      <c r="D21" s="35" t="s">
        <v>120</v>
      </c>
      <c r="E21" s="35" t="s">
        <v>121</v>
      </c>
      <c r="F21" s="48"/>
    </row>
    <row r="22" spans="1:6" s="87" customFormat="1" hidden="1" x14ac:dyDescent="0.2">
      <c r="A22" s="133"/>
      <c r="B22" s="134"/>
      <c r="C22" s="135"/>
      <c r="D22" s="135"/>
      <c r="E22" s="136"/>
      <c r="F22" s="182"/>
    </row>
    <row r="23" spans="1:6" s="87" customFormat="1" x14ac:dyDescent="0.2">
      <c r="A23" s="169">
        <v>44378</v>
      </c>
      <c r="B23" s="170">
        <f>10+16</f>
        <v>26</v>
      </c>
      <c r="C23" s="171" t="s">
        <v>169</v>
      </c>
      <c r="D23" s="171" t="s">
        <v>170</v>
      </c>
      <c r="E23" s="172" t="s">
        <v>171</v>
      </c>
      <c r="F23" s="182"/>
    </row>
    <row r="24" spans="1:6" s="87" customFormat="1" x14ac:dyDescent="0.2">
      <c r="A24" s="169">
        <v>44378</v>
      </c>
      <c r="B24" s="170">
        <v>51.76</v>
      </c>
      <c r="C24" s="171" t="s">
        <v>169</v>
      </c>
      <c r="D24" s="171" t="s">
        <v>172</v>
      </c>
      <c r="E24" s="172" t="s">
        <v>171</v>
      </c>
      <c r="F24" s="1"/>
    </row>
    <row r="25" spans="1:6" s="87" customFormat="1" x14ac:dyDescent="0.2">
      <c r="A25" s="184"/>
      <c r="B25" s="185"/>
      <c r="C25" s="186"/>
      <c r="D25" s="186"/>
      <c r="E25" s="187"/>
      <c r="F25" s="1"/>
    </row>
    <row r="26" spans="1:6" s="87" customFormat="1" x14ac:dyDescent="0.2">
      <c r="A26" s="173" t="s">
        <v>173</v>
      </c>
      <c r="B26" s="170">
        <f>172.91+252.19</f>
        <v>425.1</v>
      </c>
      <c r="C26" s="171" t="s">
        <v>174</v>
      </c>
      <c r="D26" s="171" t="s">
        <v>175</v>
      </c>
      <c r="E26" s="172" t="s">
        <v>177</v>
      </c>
      <c r="F26" s="1"/>
    </row>
    <row r="27" spans="1:6" s="87" customFormat="1" x14ac:dyDescent="0.2">
      <c r="A27" s="173" t="s">
        <v>173</v>
      </c>
      <c r="B27" s="170">
        <f>34.84+25.23+56.84+9.4+37.44</f>
        <v>163.75</v>
      </c>
      <c r="C27" s="171" t="s">
        <v>174</v>
      </c>
      <c r="D27" s="171" t="s">
        <v>176</v>
      </c>
      <c r="E27" s="172" t="s">
        <v>177</v>
      </c>
      <c r="F27" s="1"/>
    </row>
    <row r="28" spans="1:6" s="87" customFormat="1" x14ac:dyDescent="0.2">
      <c r="A28" s="184"/>
      <c r="B28" s="185"/>
      <c r="C28" s="186"/>
      <c r="D28" s="186"/>
      <c r="E28" s="187"/>
      <c r="F28" s="1"/>
    </row>
    <row r="29" spans="1:6" s="87" customFormat="1" ht="25.5" x14ac:dyDescent="0.2">
      <c r="A29" s="173" t="s">
        <v>178</v>
      </c>
      <c r="B29" s="170">
        <f>481.6+10+10+147.6+10+10</f>
        <v>669.2</v>
      </c>
      <c r="C29" s="171" t="s">
        <v>179</v>
      </c>
      <c r="D29" s="171" t="s">
        <v>180</v>
      </c>
      <c r="E29" s="172" t="s">
        <v>171</v>
      </c>
      <c r="F29" s="1"/>
    </row>
    <row r="30" spans="1:6" s="87" customFormat="1" ht="25.5" x14ac:dyDescent="0.2">
      <c r="A30" s="173" t="s">
        <v>181</v>
      </c>
      <c r="B30" s="170">
        <f>28.18+44.16+50.32</f>
        <v>122.66</v>
      </c>
      <c r="C30" s="171" t="s">
        <v>179</v>
      </c>
      <c r="D30" s="171" t="s">
        <v>182</v>
      </c>
      <c r="E30" s="172" t="s">
        <v>171</v>
      </c>
      <c r="F30" s="1"/>
    </row>
    <row r="31" spans="1:6" s="87" customFormat="1" x14ac:dyDescent="0.2">
      <c r="A31" s="184"/>
      <c r="B31" s="185"/>
      <c r="C31" s="186"/>
      <c r="D31" s="186"/>
      <c r="E31" s="187"/>
      <c r="F31" s="1"/>
    </row>
    <row r="32" spans="1:6" s="87" customFormat="1" x14ac:dyDescent="0.2">
      <c r="A32" s="173" t="s">
        <v>183</v>
      </c>
      <c r="B32" s="170">
        <f>183.87+253.9+172.91</f>
        <v>610.67999999999995</v>
      </c>
      <c r="C32" s="171" t="s">
        <v>184</v>
      </c>
      <c r="D32" s="171" t="s">
        <v>185</v>
      </c>
      <c r="E32" s="172"/>
      <c r="F32" s="1"/>
    </row>
    <row r="33" spans="1:6" s="87" customFormat="1" x14ac:dyDescent="0.2">
      <c r="A33" s="173" t="s">
        <v>183</v>
      </c>
      <c r="B33" s="170">
        <f>46.57+31.91+43.48+41.32</f>
        <v>163.28</v>
      </c>
      <c r="C33" s="171" t="s">
        <v>184</v>
      </c>
      <c r="D33" s="171" t="s">
        <v>186</v>
      </c>
      <c r="E33" s="172" t="s">
        <v>177</v>
      </c>
      <c r="F33" s="1"/>
    </row>
    <row r="34" spans="1:6" s="87" customFormat="1" x14ac:dyDescent="0.2">
      <c r="A34" s="184"/>
      <c r="B34" s="185"/>
      <c r="C34" s="186"/>
      <c r="D34" s="186"/>
      <c r="E34" s="187"/>
      <c r="F34" s="1"/>
    </row>
    <row r="35" spans="1:6" s="87" customFormat="1" ht="25.5" x14ac:dyDescent="0.2">
      <c r="A35" s="173" t="s">
        <v>187</v>
      </c>
      <c r="B35" s="170">
        <f>10+383.77+22.76+10</f>
        <v>426.53</v>
      </c>
      <c r="C35" s="171" t="s">
        <v>203</v>
      </c>
      <c r="D35" s="171" t="s">
        <v>202</v>
      </c>
      <c r="E35" s="172" t="s">
        <v>205</v>
      </c>
      <c r="F35" s="1"/>
    </row>
    <row r="36" spans="1:6" s="87" customFormat="1" ht="25.5" x14ac:dyDescent="0.2">
      <c r="A36" s="173" t="s">
        <v>187</v>
      </c>
      <c r="B36" s="170">
        <f>19.41+52.6+45.08+45.54</f>
        <v>162.63</v>
      </c>
      <c r="C36" s="171" t="s">
        <v>203</v>
      </c>
      <c r="D36" s="171" t="s">
        <v>426</v>
      </c>
      <c r="E36" s="172" t="s">
        <v>205</v>
      </c>
      <c r="F36" s="1"/>
    </row>
    <row r="37" spans="1:6" s="87" customFormat="1" x14ac:dyDescent="0.2">
      <c r="A37" s="184"/>
      <c r="B37" s="185"/>
      <c r="C37" s="186"/>
      <c r="D37" s="186"/>
      <c r="E37" s="187"/>
      <c r="F37" s="1"/>
    </row>
    <row r="38" spans="1:6" s="87" customFormat="1" x14ac:dyDescent="0.2">
      <c r="A38" s="173" t="s">
        <v>188</v>
      </c>
      <c r="B38" s="170">
        <f>147.6+172.91-150.13</f>
        <v>170.38</v>
      </c>
      <c r="C38" s="171" t="s">
        <v>189</v>
      </c>
      <c r="D38" s="171" t="s">
        <v>190</v>
      </c>
      <c r="E38" s="172" t="s">
        <v>171</v>
      </c>
      <c r="F38" s="1"/>
    </row>
    <row r="39" spans="1:6" s="87" customFormat="1" x14ac:dyDescent="0.2">
      <c r="A39" s="173" t="s">
        <v>188</v>
      </c>
      <c r="B39" s="170">
        <f>24.06+38.54+14.78+8.25</f>
        <v>85.63</v>
      </c>
      <c r="C39" s="171" t="s">
        <v>189</v>
      </c>
      <c r="D39" s="171" t="s">
        <v>176</v>
      </c>
      <c r="E39" s="172"/>
      <c r="F39" s="183"/>
    </row>
    <row r="40" spans="1:6" s="87" customFormat="1" x14ac:dyDescent="0.2">
      <c r="A40" s="184"/>
      <c r="B40" s="185"/>
      <c r="C40" s="186"/>
      <c r="D40" s="186"/>
      <c r="E40" s="187"/>
      <c r="F40" s="1"/>
    </row>
    <row r="41" spans="1:6" s="87" customFormat="1" x14ac:dyDescent="0.2">
      <c r="A41" s="169" t="s">
        <v>215</v>
      </c>
      <c r="B41" s="170">
        <v>0</v>
      </c>
      <c r="C41" s="171" t="s">
        <v>223</v>
      </c>
      <c r="D41" s="171" t="s">
        <v>419</v>
      </c>
      <c r="E41" s="172" t="s">
        <v>204</v>
      </c>
      <c r="F41" s="1"/>
    </row>
    <row r="42" spans="1:6" s="87" customFormat="1" x14ac:dyDescent="0.2">
      <c r="A42" s="169" t="s">
        <v>215</v>
      </c>
      <c r="B42" s="170">
        <v>141.27000000000001</v>
      </c>
      <c r="C42" s="171" t="s">
        <v>223</v>
      </c>
      <c r="D42" s="171" t="s">
        <v>217</v>
      </c>
      <c r="E42" s="172" t="s">
        <v>204</v>
      </c>
      <c r="F42" s="1"/>
    </row>
    <row r="43" spans="1:6" s="87" customFormat="1" x14ac:dyDescent="0.2">
      <c r="A43" s="169" t="s">
        <v>215</v>
      </c>
      <c r="B43" s="170">
        <f>49.5+45.81+16.79+6.5+39.48+18.37</f>
        <v>176.45</v>
      </c>
      <c r="C43" s="171" t="s">
        <v>216</v>
      </c>
      <c r="D43" s="171" t="s">
        <v>232</v>
      </c>
      <c r="E43" s="172" t="s">
        <v>204</v>
      </c>
      <c r="F43" s="183"/>
    </row>
    <row r="44" spans="1:6" s="87" customFormat="1" x14ac:dyDescent="0.2">
      <c r="A44" s="184"/>
      <c r="B44" s="185"/>
      <c r="C44" s="186"/>
      <c r="D44" s="186"/>
      <c r="E44" s="187"/>
      <c r="F44" s="1"/>
    </row>
    <row r="45" spans="1:6" s="87" customFormat="1" x14ac:dyDescent="0.2">
      <c r="A45" s="169">
        <v>44423</v>
      </c>
      <c r="B45" s="170">
        <f>150.13+127.36</f>
        <v>277.49</v>
      </c>
      <c r="C45" s="171" t="s">
        <v>212</v>
      </c>
      <c r="D45" s="171" t="s">
        <v>185</v>
      </c>
      <c r="E45" s="172" t="s">
        <v>213</v>
      </c>
      <c r="F45" s="1"/>
    </row>
    <row r="46" spans="1:6" s="87" customFormat="1" x14ac:dyDescent="0.2">
      <c r="A46" s="169">
        <v>44423</v>
      </c>
      <c r="B46" s="170">
        <f>30.71+51.53</f>
        <v>82.240000000000009</v>
      </c>
      <c r="C46" s="171" t="s">
        <v>212</v>
      </c>
      <c r="D46" s="171" t="s">
        <v>236</v>
      </c>
      <c r="E46" s="172" t="s">
        <v>213</v>
      </c>
      <c r="F46" s="1"/>
    </row>
    <row r="47" spans="1:6" s="87" customFormat="1" x14ac:dyDescent="0.2">
      <c r="A47" s="184"/>
      <c r="B47" s="185"/>
      <c r="C47" s="186"/>
      <c r="D47" s="186"/>
      <c r="E47" s="187"/>
      <c r="F47" s="1"/>
    </row>
    <row r="48" spans="1:6" s="87" customFormat="1" x14ac:dyDescent="0.2">
      <c r="A48" s="169">
        <v>44427</v>
      </c>
      <c r="B48" s="170">
        <f>241.22+230.26-241.22</f>
        <v>230.26000000000002</v>
      </c>
      <c r="C48" s="171" t="s">
        <v>222</v>
      </c>
      <c r="D48" s="171" t="s">
        <v>185</v>
      </c>
      <c r="E48" s="172" t="s">
        <v>171</v>
      </c>
      <c r="F48" s="1"/>
    </row>
    <row r="49" spans="1:6" s="87" customFormat="1" x14ac:dyDescent="0.2">
      <c r="A49" s="169">
        <v>44427</v>
      </c>
      <c r="B49" s="170">
        <v>16.52</v>
      </c>
      <c r="C49" s="171" t="s">
        <v>222</v>
      </c>
      <c r="D49" s="171" t="s">
        <v>228</v>
      </c>
      <c r="E49" s="172" t="s">
        <v>224</v>
      </c>
      <c r="F49" s="1"/>
    </row>
    <row r="50" spans="1:6" s="181" customFormat="1" x14ac:dyDescent="0.2">
      <c r="A50" s="184"/>
      <c r="B50" s="185"/>
      <c r="C50" s="186"/>
      <c r="D50" s="186"/>
      <c r="E50" s="187"/>
      <c r="F50" s="180"/>
    </row>
    <row r="51" spans="1:6" s="87" customFormat="1" ht="25.5" x14ac:dyDescent="0.2">
      <c r="A51" s="169">
        <v>44433</v>
      </c>
      <c r="B51" s="170">
        <f>362.68-362.68</f>
        <v>0</v>
      </c>
      <c r="C51" s="171" t="s">
        <v>225</v>
      </c>
      <c r="D51" s="171" t="s">
        <v>185</v>
      </c>
      <c r="E51" s="172" t="s">
        <v>204</v>
      </c>
      <c r="F51" s="1"/>
    </row>
    <row r="52" spans="1:6" s="87" customFormat="1" x14ac:dyDescent="0.2">
      <c r="A52" s="184"/>
      <c r="B52" s="185"/>
      <c r="C52" s="186"/>
      <c r="D52" s="186"/>
      <c r="E52" s="187"/>
      <c r="F52" s="1"/>
    </row>
    <row r="53" spans="1:6" s="87" customFormat="1" ht="25.5" x14ac:dyDescent="0.2">
      <c r="A53" s="169">
        <v>44435</v>
      </c>
      <c r="B53" s="170">
        <f>472.08+10-472.08</f>
        <v>10</v>
      </c>
      <c r="C53" s="171" t="s">
        <v>226</v>
      </c>
      <c r="D53" s="171" t="s">
        <v>185</v>
      </c>
      <c r="E53" s="172" t="s">
        <v>218</v>
      </c>
      <c r="F53" s="1"/>
    </row>
    <row r="54" spans="1:6" s="87" customFormat="1" x14ac:dyDescent="0.2">
      <c r="A54" s="184"/>
      <c r="B54" s="185"/>
      <c r="C54" s="186"/>
      <c r="D54" s="186"/>
      <c r="E54" s="187"/>
      <c r="F54" s="1"/>
    </row>
    <row r="55" spans="1:6" s="87" customFormat="1" x14ac:dyDescent="0.2">
      <c r="A55" s="169">
        <v>44440</v>
      </c>
      <c r="B55" s="170">
        <f>312.07-312.07</f>
        <v>0</v>
      </c>
      <c r="C55" s="171" t="s">
        <v>237</v>
      </c>
      <c r="D55" s="171" t="s">
        <v>185</v>
      </c>
      <c r="E55" s="172"/>
      <c r="F55" s="1"/>
    </row>
    <row r="56" spans="1:6" s="87" customFormat="1" x14ac:dyDescent="0.2">
      <c r="A56" s="184"/>
      <c r="B56" s="185"/>
      <c r="C56" s="186"/>
      <c r="D56" s="186"/>
      <c r="E56" s="187"/>
      <c r="F56" s="1"/>
    </row>
    <row r="57" spans="1:6" s="174" customFormat="1" x14ac:dyDescent="0.2">
      <c r="A57" s="169">
        <v>44449</v>
      </c>
      <c r="B57" s="170">
        <f>10+15</f>
        <v>25</v>
      </c>
      <c r="C57" s="171" t="s">
        <v>241</v>
      </c>
      <c r="D57" s="171"/>
      <c r="E57" s="172"/>
      <c r="F57" s="180"/>
    </row>
    <row r="58" spans="1:6" s="87" customFormat="1" x14ac:dyDescent="0.2">
      <c r="A58" s="184"/>
      <c r="B58" s="185"/>
      <c r="C58" s="186"/>
      <c r="D58" s="186"/>
      <c r="E58" s="187"/>
      <c r="F58" s="1"/>
    </row>
    <row r="59" spans="1:6" s="87" customFormat="1" x14ac:dyDescent="0.2">
      <c r="A59" s="169">
        <v>44458</v>
      </c>
      <c r="B59" s="170">
        <f>299.95-299.95</f>
        <v>0</v>
      </c>
      <c r="C59" s="171" t="s">
        <v>238</v>
      </c>
      <c r="D59" s="171" t="s">
        <v>185</v>
      </c>
      <c r="E59" s="172"/>
      <c r="F59" s="1"/>
    </row>
    <row r="60" spans="1:6" s="87" customFormat="1" x14ac:dyDescent="0.2">
      <c r="A60" s="184"/>
      <c r="B60" s="185"/>
      <c r="C60" s="186"/>
      <c r="D60" s="186"/>
      <c r="E60" s="187"/>
      <c r="F60" s="1"/>
    </row>
    <row r="61" spans="1:6" s="87" customFormat="1" x14ac:dyDescent="0.2">
      <c r="A61" s="169" t="s">
        <v>239</v>
      </c>
      <c r="B61" s="170">
        <f>218.45+130.73</f>
        <v>349.17999999999995</v>
      </c>
      <c r="C61" s="171" t="s">
        <v>240</v>
      </c>
      <c r="D61" s="171" t="s">
        <v>185</v>
      </c>
      <c r="E61" s="172" t="s">
        <v>213</v>
      </c>
      <c r="F61" s="1"/>
    </row>
    <row r="62" spans="1:6" s="87" customFormat="1" x14ac:dyDescent="0.2">
      <c r="A62" s="169" t="s">
        <v>239</v>
      </c>
      <c r="B62" s="170">
        <f>77.27+58.69+53.6</f>
        <v>189.55999999999997</v>
      </c>
      <c r="C62" s="171" t="s">
        <v>240</v>
      </c>
      <c r="D62" s="171" t="s">
        <v>247</v>
      </c>
      <c r="E62" s="172" t="s">
        <v>224</v>
      </c>
      <c r="F62" s="175"/>
    </row>
    <row r="63" spans="1:6" s="87" customFormat="1" x14ac:dyDescent="0.2">
      <c r="A63" s="184"/>
      <c r="B63" s="185"/>
      <c r="C63" s="186"/>
      <c r="D63" s="186"/>
      <c r="E63" s="187"/>
      <c r="F63" s="1"/>
    </row>
    <row r="64" spans="1:6" s="87" customFormat="1" x14ac:dyDescent="0.2">
      <c r="A64" s="169" t="s">
        <v>248</v>
      </c>
      <c r="B64" s="170">
        <f>172.91+130.73</f>
        <v>303.64</v>
      </c>
      <c r="C64" s="171" t="s">
        <v>250</v>
      </c>
      <c r="D64" s="171" t="s">
        <v>249</v>
      </c>
      <c r="E64" s="172" t="s">
        <v>213</v>
      </c>
      <c r="F64" s="1"/>
    </row>
    <row r="65" spans="1:6" s="87" customFormat="1" x14ac:dyDescent="0.2">
      <c r="A65" s="169" t="s">
        <v>248</v>
      </c>
      <c r="B65" s="170">
        <f>(49.84+24.23+51.81+32.78)</f>
        <v>158.66000000000003</v>
      </c>
      <c r="C65" s="171" t="s">
        <v>250</v>
      </c>
      <c r="D65" s="171" t="s">
        <v>176</v>
      </c>
      <c r="E65" s="172" t="s">
        <v>177</v>
      </c>
      <c r="F65" s="175"/>
    </row>
    <row r="66" spans="1:6" s="87" customFormat="1" x14ac:dyDescent="0.2">
      <c r="A66" s="184"/>
      <c r="B66" s="185"/>
      <c r="C66" s="186"/>
      <c r="D66" s="186"/>
      <c r="E66" s="187"/>
      <c r="F66" s="1"/>
    </row>
    <row r="67" spans="1:6" s="87" customFormat="1" x14ac:dyDescent="0.2">
      <c r="A67" s="169" t="s">
        <v>376</v>
      </c>
      <c r="B67" s="170">
        <f>266.53+10+10+164.47+203.28</f>
        <v>654.28</v>
      </c>
      <c r="C67" s="171" t="s">
        <v>254</v>
      </c>
      <c r="D67" s="171" t="s">
        <v>251</v>
      </c>
      <c r="E67" s="172" t="s">
        <v>213</v>
      </c>
      <c r="F67" s="1"/>
    </row>
    <row r="68" spans="1:6" s="87" customFormat="1" x14ac:dyDescent="0.2">
      <c r="A68" s="169" t="s">
        <v>376</v>
      </c>
      <c r="B68" s="170">
        <v>38.78</v>
      </c>
      <c r="C68" s="171" t="s">
        <v>254</v>
      </c>
      <c r="D68" s="171" t="s">
        <v>191</v>
      </c>
      <c r="E68" s="172" t="s">
        <v>213</v>
      </c>
      <c r="F68" s="1"/>
    </row>
    <row r="69" spans="1:6" s="181" customFormat="1" x14ac:dyDescent="0.2">
      <c r="A69" s="169" t="s">
        <v>376</v>
      </c>
      <c r="B69" s="170">
        <v>123.48</v>
      </c>
      <c r="C69" s="171" t="s">
        <v>254</v>
      </c>
      <c r="D69" s="171" t="s">
        <v>256</v>
      </c>
      <c r="E69" s="172" t="s">
        <v>171</v>
      </c>
      <c r="F69" s="175"/>
    </row>
    <row r="70" spans="1:6" s="87" customFormat="1" x14ac:dyDescent="0.2">
      <c r="A70" s="184"/>
      <c r="B70" s="185"/>
      <c r="C70" s="186"/>
      <c r="D70" s="186"/>
      <c r="E70" s="187"/>
      <c r="F70" s="1"/>
    </row>
    <row r="71" spans="1:6" s="87" customFormat="1" ht="25.5" x14ac:dyDescent="0.2">
      <c r="A71" s="173" t="s">
        <v>377</v>
      </c>
      <c r="B71" s="170">
        <f>10+113.86+130.73+230.26+10-130.73</f>
        <v>364.12</v>
      </c>
      <c r="C71" s="171" t="s">
        <v>269</v>
      </c>
      <c r="D71" s="171" t="s">
        <v>277</v>
      </c>
      <c r="E71" s="172" t="s">
        <v>213</v>
      </c>
      <c r="F71" s="1"/>
    </row>
    <row r="72" spans="1:6" s="87" customFormat="1" ht="25.5" x14ac:dyDescent="0.2">
      <c r="A72" s="173" t="s">
        <v>268</v>
      </c>
      <c r="B72" s="170">
        <f>43.73+44.22+23.16</f>
        <v>111.10999999999999</v>
      </c>
      <c r="C72" s="171" t="s">
        <v>269</v>
      </c>
      <c r="D72" s="171" t="s">
        <v>427</v>
      </c>
      <c r="E72" s="172" t="s">
        <v>213</v>
      </c>
      <c r="F72" s="1"/>
    </row>
    <row r="73" spans="1:6" s="87" customFormat="1" x14ac:dyDescent="0.2">
      <c r="A73" s="184"/>
      <c r="B73" s="185"/>
      <c r="C73" s="186"/>
      <c r="D73" s="186"/>
      <c r="E73" s="187"/>
      <c r="F73" s="1"/>
    </row>
    <row r="74" spans="1:6" s="174" customFormat="1" ht="25.5" x14ac:dyDescent="0.2">
      <c r="A74" s="173" t="s">
        <v>263</v>
      </c>
      <c r="B74" s="170">
        <f>317.57+5</f>
        <v>322.57</v>
      </c>
      <c r="C74" s="171" t="s">
        <v>260</v>
      </c>
      <c r="D74" s="171" t="s">
        <v>259</v>
      </c>
      <c r="E74" s="172" t="s">
        <v>258</v>
      </c>
      <c r="F74" s="180"/>
    </row>
    <row r="75" spans="1:6" s="181" customFormat="1" ht="25.5" x14ac:dyDescent="0.2">
      <c r="A75" s="173" t="s">
        <v>263</v>
      </c>
      <c r="B75" s="170">
        <v>347.6</v>
      </c>
      <c r="C75" s="171" t="s">
        <v>260</v>
      </c>
      <c r="D75" s="171" t="s">
        <v>298</v>
      </c>
      <c r="E75" s="172" t="s">
        <v>428</v>
      </c>
      <c r="F75" s="175"/>
    </row>
    <row r="76" spans="1:6" s="87" customFormat="1" x14ac:dyDescent="0.2">
      <c r="A76" s="169">
        <v>44625</v>
      </c>
      <c r="B76" s="170">
        <f>206.22+5</f>
        <v>211.22</v>
      </c>
      <c r="C76" s="171" t="s">
        <v>261</v>
      </c>
      <c r="D76" s="171" t="s">
        <v>262</v>
      </c>
      <c r="E76" s="172" t="s">
        <v>218</v>
      </c>
      <c r="F76" s="1"/>
    </row>
    <row r="77" spans="1:6" s="87" customFormat="1" x14ac:dyDescent="0.2">
      <c r="A77" s="188"/>
      <c r="B77" s="185"/>
      <c r="C77" s="186"/>
      <c r="D77" s="186"/>
      <c r="E77" s="187"/>
      <c r="F77" s="1"/>
    </row>
    <row r="78" spans="1:6" s="87" customFormat="1" x14ac:dyDescent="0.2">
      <c r="A78" s="169" t="s">
        <v>272</v>
      </c>
      <c r="B78" s="170">
        <f>113.86</f>
        <v>113.86</v>
      </c>
      <c r="C78" s="171" t="s">
        <v>270</v>
      </c>
      <c r="D78" s="171" t="s">
        <v>267</v>
      </c>
      <c r="E78" s="172" t="s">
        <v>213</v>
      </c>
      <c r="F78" s="1"/>
    </row>
    <row r="79" spans="1:6" s="87" customFormat="1" x14ac:dyDescent="0.2">
      <c r="A79" s="169">
        <v>44628</v>
      </c>
      <c r="B79" s="170">
        <f>36.82+79.82</f>
        <v>116.63999999999999</v>
      </c>
      <c r="C79" s="171" t="s">
        <v>270</v>
      </c>
      <c r="D79" s="171" t="s">
        <v>378</v>
      </c>
      <c r="E79" s="172" t="s">
        <v>213</v>
      </c>
      <c r="F79" s="175"/>
    </row>
    <row r="80" spans="1:6" s="87" customFormat="1" x14ac:dyDescent="0.2">
      <c r="A80" s="188"/>
      <c r="B80" s="185"/>
      <c r="C80" s="186"/>
      <c r="D80" s="186"/>
      <c r="E80" s="187"/>
      <c r="F80" s="1"/>
    </row>
    <row r="81" spans="1:6" s="87" customFormat="1" ht="25.5" customHeight="1" x14ac:dyDescent="0.2">
      <c r="A81" s="169" t="s">
        <v>289</v>
      </c>
      <c r="B81" s="170">
        <f>436.29+10+10+10+10+184.07+163.63+10+10</f>
        <v>843.99</v>
      </c>
      <c r="C81" s="171" t="s">
        <v>286</v>
      </c>
      <c r="D81" s="171" t="s">
        <v>251</v>
      </c>
      <c r="E81" s="172" t="s">
        <v>255</v>
      </c>
      <c r="F81" s="189"/>
    </row>
    <row r="82" spans="1:6" s="87" customFormat="1" x14ac:dyDescent="0.2">
      <c r="A82" s="169" t="s">
        <v>271</v>
      </c>
      <c r="B82" s="170">
        <f>(22.19+31)</f>
        <v>53.19</v>
      </c>
      <c r="C82" s="171" t="s">
        <v>288</v>
      </c>
      <c r="D82" s="171" t="s">
        <v>244</v>
      </c>
      <c r="E82" s="172" t="s">
        <v>429</v>
      </c>
      <c r="F82" s="175"/>
    </row>
    <row r="83" spans="1:6" s="87" customFormat="1" ht="15.75" customHeight="1" x14ac:dyDescent="0.2">
      <c r="A83" s="169" t="s">
        <v>289</v>
      </c>
      <c r="B83" s="170">
        <v>328.62</v>
      </c>
      <c r="C83" s="171" t="s">
        <v>288</v>
      </c>
      <c r="D83" s="171" t="s">
        <v>430</v>
      </c>
      <c r="E83" s="172" t="s">
        <v>291</v>
      </c>
      <c r="F83" s="175"/>
    </row>
    <row r="84" spans="1:6" s="87" customFormat="1" x14ac:dyDescent="0.2">
      <c r="A84" s="188"/>
      <c r="B84" s="185"/>
      <c r="C84" s="186"/>
      <c r="D84" s="186"/>
      <c r="E84" s="187"/>
      <c r="F84" s="175"/>
    </row>
    <row r="85" spans="1:6" s="87" customFormat="1" x14ac:dyDescent="0.2">
      <c r="A85" s="169" t="s">
        <v>274</v>
      </c>
      <c r="B85" s="170">
        <f>147.6+147.6</f>
        <v>295.2</v>
      </c>
      <c r="C85" s="171" t="s">
        <v>273</v>
      </c>
      <c r="D85" s="171" t="s">
        <v>185</v>
      </c>
      <c r="E85" s="172" t="s">
        <v>171</v>
      </c>
      <c r="F85" s="175"/>
    </row>
    <row r="86" spans="1:6" s="87" customFormat="1" x14ac:dyDescent="0.2">
      <c r="A86" s="169" t="s">
        <v>274</v>
      </c>
      <c r="B86" s="170">
        <f>22.87+51.06+48.77+36.16</f>
        <v>158.86000000000001</v>
      </c>
      <c r="C86" s="171" t="s">
        <v>273</v>
      </c>
      <c r="D86" s="171" t="s">
        <v>176</v>
      </c>
      <c r="E86" s="172" t="s">
        <v>171</v>
      </c>
      <c r="F86" s="175"/>
    </row>
    <row r="87" spans="1:6" s="87" customFormat="1" x14ac:dyDescent="0.2">
      <c r="A87" s="188"/>
      <c r="B87" s="185"/>
      <c r="C87" s="186"/>
      <c r="D87" s="186"/>
      <c r="E87" s="187"/>
      <c r="F87" s="175"/>
    </row>
    <row r="88" spans="1:6" s="87" customFormat="1" x14ac:dyDescent="0.2">
      <c r="A88" s="169" t="s">
        <v>292</v>
      </c>
      <c r="B88" s="170">
        <f>82.66+10+147.6+147.6</f>
        <v>387.86</v>
      </c>
      <c r="C88" s="171" t="s">
        <v>295</v>
      </c>
      <c r="D88" s="171" t="s">
        <v>185</v>
      </c>
      <c r="E88" s="172" t="s">
        <v>171</v>
      </c>
      <c r="F88" s="175"/>
    </row>
    <row r="89" spans="1:6" s="87" customFormat="1" x14ac:dyDescent="0.2">
      <c r="A89" s="169" t="s">
        <v>292</v>
      </c>
      <c r="B89" s="170">
        <f>25.56+57.79+15.67+7.64+10.12+44.98+91.84</f>
        <v>253.6</v>
      </c>
      <c r="C89" s="171" t="s">
        <v>296</v>
      </c>
      <c r="D89" s="171" t="s">
        <v>420</v>
      </c>
      <c r="E89" s="172" t="s">
        <v>171</v>
      </c>
      <c r="F89" s="175"/>
    </row>
    <row r="90" spans="1:6" s="87" customFormat="1" x14ac:dyDescent="0.2">
      <c r="A90" s="188"/>
      <c r="B90" s="185"/>
      <c r="C90" s="186"/>
      <c r="D90" s="186"/>
      <c r="E90" s="187"/>
      <c r="F90" s="1"/>
    </row>
    <row r="91" spans="1:6" s="87" customFormat="1" x14ac:dyDescent="0.2">
      <c r="A91" s="169">
        <v>44650</v>
      </c>
      <c r="B91" s="170">
        <f>339.9+10+10+230.25-339.9</f>
        <v>250.25</v>
      </c>
      <c r="C91" s="171" t="s">
        <v>421</v>
      </c>
      <c r="D91" s="171" t="s">
        <v>411</v>
      </c>
      <c r="E91" s="172" t="s">
        <v>171</v>
      </c>
      <c r="F91" s="1"/>
    </row>
    <row r="92" spans="1:6" s="87" customFormat="1" x14ac:dyDescent="0.2">
      <c r="A92" s="169">
        <v>44651</v>
      </c>
      <c r="B92" s="170">
        <v>24.52</v>
      </c>
      <c r="C92" s="171" t="s">
        <v>421</v>
      </c>
      <c r="D92" s="171" t="s">
        <v>422</v>
      </c>
      <c r="E92" s="172" t="s">
        <v>213</v>
      </c>
      <c r="F92" s="1"/>
    </row>
    <row r="93" spans="1:6" s="87" customFormat="1" x14ac:dyDescent="0.2">
      <c r="A93" s="188"/>
      <c r="B93" s="185"/>
      <c r="C93" s="186"/>
      <c r="D93" s="186"/>
      <c r="E93" s="187"/>
      <c r="F93" s="1"/>
    </row>
    <row r="94" spans="1:6" s="87" customFormat="1" ht="16.5" customHeight="1" x14ac:dyDescent="0.2">
      <c r="A94" s="169" t="s">
        <v>304</v>
      </c>
      <c r="B94" s="170">
        <f>10+10+230.26</f>
        <v>250.26</v>
      </c>
      <c r="C94" s="171" t="s">
        <v>297</v>
      </c>
      <c r="D94" s="171" t="s">
        <v>411</v>
      </c>
      <c r="E94" s="172" t="s">
        <v>171</v>
      </c>
      <c r="F94" s="1"/>
    </row>
    <row r="95" spans="1:6" s="87" customFormat="1" ht="14.25" customHeight="1" x14ac:dyDescent="0.2">
      <c r="A95" s="169" t="s">
        <v>304</v>
      </c>
      <c r="B95" s="170">
        <v>48.41</v>
      </c>
      <c r="C95" s="171" t="s">
        <v>297</v>
      </c>
      <c r="D95" s="171" t="s">
        <v>191</v>
      </c>
      <c r="E95" s="172" t="s">
        <v>171</v>
      </c>
      <c r="F95" s="175"/>
    </row>
    <row r="96" spans="1:6" s="87" customFormat="1" ht="14.25" customHeight="1" x14ac:dyDescent="0.2">
      <c r="A96" s="188"/>
      <c r="B96" s="185"/>
      <c r="C96" s="186"/>
      <c r="D96" s="186"/>
      <c r="E96" s="187"/>
      <c r="F96" s="1"/>
    </row>
    <row r="97" spans="1:6" s="87" customFormat="1" ht="14.25" customHeight="1" x14ac:dyDescent="0.2">
      <c r="A97" s="169" t="s">
        <v>301</v>
      </c>
      <c r="B97" s="170">
        <v>366.9</v>
      </c>
      <c r="C97" s="171" t="s">
        <v>302</v>
      </c>
      <c r="D97" s="171" t="s">
        <v>185</v>
      </c>
      <c r="E97" s="172" t="s">
        <v>204</v>
      </c>
      <c r="F97" s="1"/>
    </row>
    <row r="98" spans="1:6" s="87" customFormat="1" ht="14.25" customHeight="1" x14ac:dyDescent="0.2">
      <c r="A98" s="169" t="s">
        <v>301</v>
      </c>
      <c r="B98" s="170">
        <v>339.13</v>
      </c>
      <c r="C98" s="171" t="s">
        <v>302</v>
      </c>
      <c r="D98" s="171" t="s">
        <v>303</v>
      </c>
      <c r="E98" s="172" t="s">
        <v>204</v>
      </c>
      <c r="F98" s="1"/>
    </row>
    <row r="99" spans="1:6" s="87" customFormat="1" ht="14.25" customHeight="1" x14ac:dyDescent="0.2">
      <c r="A99" s="169" t="s">
        <v>301</v>
      </c>
      <c r="B99" s="170">
        <f>(30.96+55.6)</f>
        <v>86.56</v>
      </c>
      <c r="C99" s="171" t="s">
        <v>302</v>
      </c>
      <c r="D99" s="171" t="s">
        <v>244</v>
      </c>
      <c r="E99" s="172" t="s">
        <v>204</v>
      </c>
      <c r="F99" s="175"/>
    </row>
    <row r="100" spans="1:6" s="87" customFormat="1" x14ac:dyDescent="0.2">
      <c r="A100" s="188"/>
      <c r="B100" s="185"/>
      <c r="C100" s="186"/>
      <c r="D100" s="186"/>
      <c r="E100" s="187"/>
      <c r="F100" s="175"/>
    </row>
    <row r="101" spans="1:6" s="87" customFormat="1" x14ac:dyDescent="0.2">
      <c r="A101" s="169" t="s">
        <v>293</v>
      </c>
      <c r="B101" s="170">
        <f>147.6+10+147.6</f>
        <v>305.2</v>
      </c>
      <c r="C101" s="171" t="s">
        <v>294</v>
      </c>
      <c r="D101" s="171" t="s">
        <v>328</v>
      </c>
      <c r="E101" s="172" t="s">
        <v>171</v>
      </c>
      <c r="F101" s="175"/>
    </row>
    <row r="102" spans="1:6" s="87" customFormat="1" x14ac:dyDescent="0.2">
      <c r="A102" s="169" t="s">
        <v>293</v>
      </c>
      <c r="B102" s="170">
        <f>20.54+36.15+4+12.77+54.37+41.28</f>
        <v>169.10999999999999</v>
      </c>
      <c r="C102" s="171" t="s">
        <v>294</v>
      </c>
      <c r="D102" s="171" t="s">
        <v>191</v>
      </c>
      <c r="E102" s="172" t="s">
        <v>213</v>
      </c>
      <c r="F102" s="175"/>
    </row>
    <row r="103" spans="1:6" s="87" customFormat="1" x14ac:dyDescent="0.2">
      <c r="A103" s="188"/>
      <c r="B103" s="185"/>
      <c r="C103" s="186"/>
      <c r="D103" s="186"/>
      <c r="E103" s="187"/>
      <c r="F103" s="175"/>
    </row>
    <row r="104" spans="1:6" s="87" customFormat="1" x14ac:dyDescent="0.2">
      <c r="A104" s="169" t="s">
        <v>320</v>
      </c>
      <c r="B104" s="170">
        <f>147.6+10+206.24-206.24</f>
        <v>157.60000000000002</v>
      </c>
      <c r="C104" s="171" t="s">
        <v>308</v>
      </c>
      <c r="D104" s="171" t="s">
        <v>321</v>
      </c>
      <c r="E104" s="172" t="s">
        <v>171</v>
      </c>
      <c r="F104" s="175"/>
    </row>
    <row r="105" spans="1:6" s="87" customFormat="1" x14ac:dyDescent="0.2">
      <c r="A105" s="169" t="s">
        <v>320</v>
      </c>
      <c r="B105" s="170">
        <v>29.17</v>
      </c>
      <c r="C105" s="171" t="s">
        <v>308</v>
      </c>
      <c r="D105" s="171" t="s">
        <v>172</v>
      </c>
      <c r="E105" s="172" t="s">
        <v>213</v>
      </c>
      <c r="F105" s="175"/>
    </row>
    <row r="106" spans="1:6" s="87" customFormat="1" x14ac:dyDescent="0.2">
      <c r="A106" s="188"/>
      <c r="B106" s="185"/>
      <c r="C106" s="186"/>
      <c r="D106" s="186"/>
      <c r="E106" s="187"/>
      <c r="F106" s="175"/>
    </row>
    <row r="107" spans="1:6" s="174" customFormat="1" x14ac:dyDescent="0.2">
      <c r="A107" s="169" t="s">
        <v>309</v>
      </c>
      <c r="B107" s="170">
        <f>121.84+195.99-195.99+10+256.49</f>
        <v>388.33000000000004</v>
      </c>
      <c r="C107" s="171" t="s">
        <v>310</v>
      </c>
      <c r="D107" s="171" t="s">
        <v>322</v>
      </c>
      <c r="E107" s="172" t="s">
        <v>311</v>
      </c>
      <c r="F107" s="175"/>
    </row>
    <row r="108" spans="1:6" s="174" customFormat="1" x14ac:dyDescent="0.2">
      <c r="A108" s="169" t="s">
        <v>309</v>
      </c>
      <c r="B108" s="170">
        <v>63.48</v>
      </c>
      <c r="C108" s="171" t="s">
        <v>310</v>
      </c>
      <c r="D108" s="171" t="s">
        <v>390</v>
      </c>
      <c r="E108" s="172" t="s">
        <v>171</v>
      </c>
      <c r="F108" s="175"/>
    </row>
    <row r="109" spans="1:6" s="87" customFormat="1" x14ac:dyDescent="0.2">
      <c r="A109" s="188"/>
      <c r="B109" s="185"/>
      <c r="C109" s="186"/>
      <c r="D109" s="186"/>
      <c r="E109" s="187"/>
      <c r="F109" s="175"/>
    </row>
    <row r="110" spans="1:6" s="174" customFormat="1" x14ac:dyDescent="0.2">
      <c r="A110" s="169">
        <v>44683</v>
      </c>
      <c r="B110" s="170">
        <f>183.87</f>
        <v>183.87</v>
      </c>
      <c r="C110" s="171" t="s">
        <v>323</v>
      </c>
      <c r="D110" s="171" t="s">
        <v>324</v>
      </c>
      <c r="E110" s="172" t="s">
        <v>213</v>
      </c>
      <c r="F110" s="175"/>
    </row>
    <row r="111" spans="1:6" s="174" customFormat="1" x14ac:dyDescent="0.2">
      <c r="A111" s="169">
        <v>44683</v>
      </c>
      <c r="B111" s="170">
        <v>79.260000000000005</v>
      </c>
      <c r="C111" s="171" t="s">
        <v>325</v>
      </c>
      <c r="D111" s="171" t="s">
        <v>317</v>
      </c>
      <c r="E111" s="172" t="s">
        <v>171</v>
      </c>
      <c r="F111" s="175"/>
    </row>
    <row r="112" spans="1:6" s="87" customFormat="1" x14ac:dyDescent="0.2">
      <c r="A112" s="188"/>
      <c r="B112" s="185"/>
      <c r="C112" s="186"/>
      <c r="D112" s="186"/>
      <c r="E112" s="187"/>
      <c r="F112" s="175"/>
    </row>
    <row r="113" spans="1:6" s="87" customFormat="1" ht="25.5" x14ac:dyDescent="0.2">
      <c r="A113" s="169" t="s">
        <v>338</v>
      </c>
      <c r="B113" s="170">
        <f>19.4+451.24+10+10</f>
        <v>490.64</v>
      </c>
      <c r="C113" s="171" t="s">
        <v>345</v>
      </c>
      <c r="D113" s="171" t="s">
        <v>185</v>
      </c>
      <c r="E113" s="172" t="s">
        <v>327</v>
      </c>
      <c r="F113" s="175"/>
    </row>
    <row r="114" spans="1:6" s="87" customFormat="1" x14ac:dyDescent="0.2">
      <c r="A114" s="169" t="s">
        <v>337</v>
      </c>
      <c r="B114" s="170">
        <v>163.47999999999999</v>
      </c>
      <c r="C114" s="171" t="s">
        <v>326</v>
      </c>
      <c r="D114" s="171" t="s">
        <v>290</v>
      </c>
      <c r="E114" s="172" t="s">
        <v>204</v>
      </c>
      <c r="F114" s="175"/>
    </row>
    <row r="115" spans="1:6" s="87" customFormat="1" x14ac:dyDescent="0.2">
      <c r="A115" s="169" t="s">
        <v>337</v>
      </c>
      <c r="B115" s="170">
        <f>25.82+24.06+58.11+9.87+7.97</f>
        <v>125.83</v>
      </c>
      <c r="C115" s="171" t="s">
        <v>326</v>
      </c>
      <c r="D115" s="171" t="s">
        <v>413</v>
      </c>
      <c r="E115" s="172" t="s">
        <v>346</v>
      </c>
      <c r="F115" s="175"/>
    </row>
    <row r="116" spans="1:6" s="87" customFormat="1" x14ac:dyDescent="0.2">
      <c r="A116" s="188"/>
      <c r="B116" s="185"/>
      <c r="C116" s="186"/>
      <c r="D116" s="186"/>
      <c r="E116" s="187"/>
      <c r="F116" s="175"/>
    </row>
    <row r="117" spans="1:6" s="87" customFormat="1" x14ac:dyDescent="0.2">
      <c r="A117" s="169">
        <v>44694</v>
      </c>
      <c r="B117" s="170">
        <f>254.72+227.73+10+10</f>
        <v>502.45</v>
      </c>
      <c r="C117" s="171" t="s">
        <v>331</v>
      </c>
      <c r="D117" s="171" t="s">
        <v>332</v>
      </c>
      <c r="E117" s="172" t="s">
        <v>204</v>
      </c>
      <c r="F117" s="175"/>
    </row>
    <row r="118" spans="1:6" s="87" customFormat="1" x14ac:dyDescent="0.2">
      <c r="A118" s="169">
        <v>44694</v>
      </c>
      <c r="B118" s="170">
        <f>36.53+48.47+26.63+50.23</f>
        <v>161.85999999999999</v>
      </c>
      <c r="C118" s="171" t="s">
        <v>331</v>
      </c>
      <c r="D118" s="171" t="s">
        <v>413</v>
      </c>
      <c r="E118" s="172" t="s">
        <v>204</v>
      </c>
      <c r="F118" s="175"/>
    </row>
    <row r="119" spans="1:6" s="87" customFormat="1" x14ac:dyDescent="0.2">
      <c r="A119" s="188"/>
      <c r="B119" s="185"/>
      <c r="C119" s="186"/>
      <c r="D119" s="186"/>
      <c r="E119" s="187"/>
      <c r="F119" s="175"/>
    </row>
    <row r="120" spans="1:6" s="87" customFormat="1" x14ac:dyDescent="0.2">
      <c r="A120" s="169" t="s">
        <v>333</v>
      </c>
      <c r="B120" s="170">
        <v>79.989999999999995</v>
      </c>
      <c r="C120" s="171" t="s">
        <v>334</v>
      </c>
      <c r="D120" s="171" t="s">
        <v>412</v>
      </c>
      <c r="E120" s="172" t="s">
        <v>335</v>
      </c>
      <c r="F120" s="175"/>
    </row>
    <row r="121" spans="1:6" s="87" customFormat="1" x14ac:dyDescent="0.2">
      <c r="A121" s="169" t="s">
        <v>333</v>
      </c>
      <c r="B121" s="170">
        <v>163.57</v>
      </c>
      <c r="C121" s="171" t="s">
        <v>334</v>
      </c>
      <c r="D121" s="171" t="s">
        <v>336</v>
      </c>
      <c r="E121" s="172" t="s">
        <v>335</v>
      </c>
      <c r="F121" s="175"/>
    </row>
    <row r="122" spans="1:6" s="87" customFormat="1" x14ac:dyDescent="0.2">
      <c r="A122" s="188"/>
      <c r="B122" s="185"/>
      <c r="C122" s="186"/>
      <c r="D122" s="186"/>
      <c r="E122" s="187"/>
      <c r="F122" s="175"/>
    </row>
    <row r="123" spans="1:6" s="87" customFormat="1" x14ac:dyDescent="0.2">
      <c r="A123" s="169" t="s">
        <v>349</v>
      </c>
      <c r="B123" s="170">
        <v>0</v>
      </c>
      <c r="C123" s="171" t="s">
        <v>423</v>
      </c>
      <c r="D123" s="171" t="s">
        <v>359</v>
      </c>
      <c r="E123" s="172" t="s">
        <v>213</v>
      </c>
      <c r="F123" s="175"/>
    </row>
    <row r="124" spans="1:6" s="87" customFormat="1" x14ac:dyDescent="0.2">
      <c r="A124" s="169" t="s">
        <v>349</v>
      </c>
      <c r="B124" s="170">
        <f>49.4-5.68+36.62</f>
        <v>80.34</v>
      </c>
      <c r="C124" s="171" t="s">
        <v>347</v>
      </c>
      <c r="D124" s="171" t="s">
        <v>414</v>
      </c>
      <c r="E124" s="172" t="s">
        <v>213</v>
      </c>
      <c r="F124" s="175"/>
    </row>
    <row r="125" spans="1:6" s="87" customFormat="1" x14ac:dyDescent="0.2">
      <c r="A125" s="188"/>
      <c r="B125" s="185"/>
      <c r="C125" s="186"/>
      <c r="D125" s="186"/>
      <c r="E125" s="187"/>
      <c r="F125" s="175"/>
    </row>
    <row r="126" spans="1:6" s="87" customFormat="1" x14ac:dyDescent="0.2">
      <c r="A126" s="169" t="s">
        <v>373</v>
      </c>
      <c r="B126" s="170">
        <f>469.33</f>
        <v>469.33</v>
      </c>
      <c r="C126" s="171" t="s">
        <v>375</v>
      </c>
      <c r="D126" s="171" t="s">
        <v>251</v>
      </c>
      <c r="E126" s="172" t="s">
        <v>348</v>
      </c>
      <c r="F126" s="175"/>
    </row>
    <row r="127" spans="1:6" s="87" customFormat="1" x14ac:dyDescent="0.2">
      <c r="A127" s="169" t="s">
        <v>373</v>
      </c>
      <c r="B127" s="170">
        <v>200</v>
      </c>
      <c r="C127" s="171" t="s">
        <v>375</v>
      </c>
      <c r="D127" s="171" t="s">
        <v>336</v>
      </c>
      <c r="E127" s="172" t="s">
        <v>348</v>
      </c>
      <c r="F127" s="175"/>
    </row>
    <row r="128" spans="1:6" s="87" customFormat="1" x14ac:dyDescent="0.2">
      <c r="A128" s="169" t="s">
        <v>374</v>
      </c>
      <c r="B128" s="170">
        <f>18.39+56.88+45.92</f>
        <v>121.19000000000001</v>
      </c>
      <c r="C128" s="171" t="s">
        <v>375</v>
      </c>
      <c r="D128" s="171" t="s">
        <v>172</v>
      </c>
      <c r="E128" s="172" t="s">
        <v>348</v>
      </c>
      <c r="F128" s="175"/>
    </row>
    <row r="129" spans="1:6" s="87" customFormat="1" x14ac:dyDescent="0.2">
      <c r="A129" s="190"/>
      <c r="B129" s="191"/>
      <c r="C129" s="192"/>
      <c r="D129" s="192"/>
      <c r="E129" s="193"/>
      <c r="F129" s="175"/>
    </row>
    <row r="130" spans="1:6" s="87" customFormat="1" x14ac:dyDescent="0.2">
      <c r="A130" s="169">
        <v>44714</v>
      </c>
      <c r="B130" s="170">
        <f>230.26+44.7+10</f>
        <v>284.95999999999998</v>
      </c>
      <c r="C130" s="171" t="s">
        <v>381</v>
      </c>
      <c r="D130" s="171" t="s">
        <v>382</v>
      </c>
      <c r="E130" s="172" t="s">
        <v>380</v>
      </c>
      <c r="F130" s="175"/>
    </row>
    <row r="131" spans="1:6" s="87" customFormat="1" x14ac:dyDescent="0.2">
      <c r="A131" s="169">
        <v>44714</v>
      </c>
      <c r="B131" s="170">
        <v>92.5</v>
      </c>
      <c r="C131" s="171" t="s">
        <v>383</v>
      </c>
      <c r="D131" s="171" t="s">
        <v>186</v>
      </c>
      <c r="E131" s="172" t="s">
        <v>389</v>
      </c>
      <c r="F131" s="175"/>
    </row>
    <row r="132" spans="1:6" s="87" customFormat="1" x14ac:dyDescent="0.2">
      <c r="A132" s="188"/>
      <c r="B132" s="185"/>
      <c r="C132" s="186"/>
      <c r="D132" s="186"/>
      <c r="E132" s="187"/>
      <c r="F132" s="175"/>
    </row>
    <row r="133" spans="1:6" s="87" customFormat="1" x14ac:dyDescent="0.2">
      <c r="A133" s="169" t="s">
        <v>350</v>
      </c>
      <c r="B133" s="170">
        <v>247.1</v>
      </c>
      <c r="C133" s="171" t="s">
        <v>351</v>
      </c>
      <c r="D133" s="171" t="s">
        <v>352</v>
      </c>
      <c r="E133" s="172" t="s">
        <v>353</v>
      </c>
      <c r="F133" s="175"/>
    </row>
    <row r="134" spans="1:6" s="87" customFormat="1" x14ac:dyDescent="0.2">
      <c r="A134" s="169" t="s">
        <v>350</v>
      </c>
      <c r="B134" s="170">
        <v>156.52000000000001</v>
      </c>
      <c r="C134" s="171" t="s">
        <v>351</v>
      </c>
      <c r="D134" s="171" t="s">
        <v>354</v>
      </c>
      <c r="E134" s="172" t="s">
        <v>355</v>
      </c>
      <c r="F134" s="175"/>
    </row>
    <row r="135" spans="1:6" s="87" customFormat="1" x14ac:dyDescent="0.2">
      <c r="A135" s="169" t="s">
        <v>350</v>
      </c>
      <c r="B135" s="170">
        <v>65</v>
      </c>
      <c r="C135" s="171" t="s">
        <v>351</v>
      </c>
      <c r="D135" s="171" t="s">
        <v>396</v>
      </c>
      <c r="E135" s="172" t="s">
        <v>171</v>
      </c>
      <c r="F135" s="175"/>
    </row>
    <row r="136" spans="1:6" s="87" customFormat="1" x14ac:dyDescent="0.2">
      <c r="A136" s="188"/>
      <c r="B136" s="185"/>
      <c r="C136" s="186"/>
      <c r="D136" s="186"/>
      <c r="E136" s="187"/>
      <c r="F136" s="175"/>
    </row>
    <row r="137" spans="1:6" s="87" customFormat="1" x14ac:dyDescent="0.2">
      <c r="A137" s="169" t="s">
        <v>357</v>
      </c>
      <c r="B137" s="170">
        <f>148.25+10</f>
        <v>158.25</v>
      </c>
      <c r="C137" s="171" t="s">
        <v>356</v>
      </c>
      <c r="D137" s="171" t="s">
        <v>251</v>
      </c>
      <c r="E137" s="172" t="s">
        <v>258</v>
      </c>
      <c r="F137" s="175"/>
    </row>
    <row r="138" spans="1:6" s="87" customFormat="1" x14ac:dyDescent="0.2">
      <c r="A138" s="169" t="s">
        <v>357</v>
      </c>
      <c r="B138" s="170">
        <f>164.35+5</f>
        <v>169.35</v>
      </c>
      <c r="C138" s="171" t="s">
        <v>356</v>
      </c>
      <c r="D138" s="171" t="s">
        <v>336</v>
      </c>
      <c r="E138" s="172" t="s">
        <v>258</v>
      </c>
      <c r="F138" s="175"/>
    </row>
    <row r="139" spans="1:6" s="87" customFormat="1" x14ac:dyDescent="0.2">
      <c r="A139" s="169" t="s">
        <v>357</v>
      </c>
      <c r="B139" s="170">
        <f>(76.96+31.94)</f>
        <v>108.89999999999999</v>
      </c>
      <c r="C139" s="171" t="s">
        <v>356</v>
      </c>
      <c r="D139" s="171" t="s">
        <v>415</v>
      </c>
      <c r="E139" s="172" t="s">
        <v>258</v>
      </c>
      <c r="F139" s="175"/>
    </row>
    <row r="140" spans="1:6" s="87" customFormat="1" x14ac:dyDescent="0.2">
      <c r="A140" s="188"/>
      <c r="B140" s="185"/>
      <c r="C140" s="186"/>
      <c r="D140" s="186"/>
      <c r="E140" s="187"/>
      <c r="F140" s="175"/>
    </row>
    <row r="141" spans="1:6" s="87" customFormat="1" x14ac:dyDescent="0.2">
      <c r="A141" s="169" t="s">
        <v>360</v>
      </c>
      <c r="B141" s="170">
        <f>206.64</f>
        <v>206.64</v>
      </c>
      <c r="C141" s="171" t="s">
        <v>358</v>
      </c>
      <c r="D141" s="171" t="s">
        <v>359</v>
      </c>
      <c r="E141" s="172" t="s">
        <v>213</v>
      </c>
      <c r="F141" s="175"/>
    </row>
    <row r="142" spans="1:6" s="87" customFormat="1" x14ac:dyDescent="0.2">
      <c r="A142" s="169" t="s">
        <v>360</v>
      </c>
      <c r="B142" s="170">
        <f>(56.88+40.86)</f>
        <v>97.740000000000009</v>
      </c>
      <c r="C142" s="171" t="s">
        <v>358</v>
      </c>
      <c r="D142" s="171" t="s">
        <v>416</v>
      </c>
      <c r="E142" s="172" t="s">
        <v>213</v>
      </c>
      <c r="F142" s="175"/>
    </row>
    <row r="143" spans="1:6" s="87" customFormat="1" x14ac:dyDescent="0.2">
      <c r="A143" s="188"/>
      <c r="B143" s="185"/>
      <c r="C143" s="186"/>
      <c r="D143" s="186"/>
      <c r="E143" s="187"/>
      <c r="F143" s="175"/>
    </row>
    <row r="144" spans="1:6" s="87" customFormat="1" x14ac:dyDescent="0.2">
      <c r="A144" s="169" t="s">
        <v>363</v>
      </c>
      <c r="B144" s="170">
        <v>487.41</v>
      </c>
      <c r="C144" s="171" t="s">
        <v>361</v>
      </c>
      <c r="D144" s="171" t="s">
        <v>251</v>
      </c>
      <c r="E144" s="172" t="s">
        <v>362</v>
      </c>
      <c r="F144" s="175"/>
    </row>
    <row r="145" spans="1:6" s="87" customFormat="1" x14ac:dyDescent="0.2">
      <c r="A145" s="169" t="s">
        <v>363</v>
      </c>
      <c r="B145" s="170">
        <f>336.52+5</f>
        <v>341.52</v>
      </c>
      <c r="C145" s="171" t="s">
        <v>361</v>
      </c>
      <c r="D145" s="171" t="s">
        <v>259</v>
      </c>
      <c r="E145" s="172" t="s">
        <v>362</v>
      </c>
      <c r="F145" s="175"/>
    </row>
    <row r="146" spans="1:6" s="87" customFormat="1" x14ac:dyDescent="0.2">
      <c r="A146" s="188"/>
      <c r="B146" s="185"/>
      <c r="C146" s="186"/>
      <c r="D146" s="186"/>
      <c r="E146" s="187"/>
      <c r="F146" s="175"/>
    </row>
    <row r="147" spans="1:6" s="87" customFormat="1" x14ac:dyDescent="0.2">
      <c r="A147" s="169">
        <v>44732</v>
      </c>
      <c r="B147" s="170">
        <f>147.6</f>
        <v>147.6</v>
      </c>
      <c r="C147" s="171" t="s">
        <v>364</v>
      </c>
      <c r="D147" s="171" t="s">
        <v>359</v>
      </c>
      <c r="E147" s="172" t="s">
        <v>365</v>
      </c>
      <c r="F147" s="175"/>
    </row>
    <row r="148" spans="1:6" s="87" customFormat="1" x14ac:dyDescent="0.2">
      <c r="A148" s="169" t="s">
        <v>366</v>
      </c>
      <c r="B148" s="170">
        <v>48.18</v>
      </c>
      <c r="C148" s="171" t="s">
        <v>364</v>
      </c>
      <c r="D148" s="171" t="s">
        <v>172</v>
      </c>
      <c r="E148" s="172" t="s">
        <v>213</v>
      </c>
      <c r="F148" s="175"/>
    </row>
    <row r="149" spans="1:6" s="87" customFormat="1" x14ac:dyDescent="0.2">
      <c r="A149" s="188"/>
      <c r="B149" s="185"/>
      <c r="C149" s="186"/>
      <c r="D149" s="186"/>
      <c r="E149" s="187"/>
      <c r="F149" s="175"/>
    </row>
    <row r="150" spans="1:6" s="87" customFormat="1" x14ac:dyDescent="0.2">
      <c r="A150" s="169" t="s">
        <v>367</v>
      </c>
      <c r="B150" s="170">
        <f>147.6+10+10+147.6+183.88</f>
        <v>499.08</v>
      </c>
      <c r="C150" s="171" t="s">
        <v>368</v>
      </c>
      <c r="D150" s="171" t="s">
        <v>251</v>
      </c>
      <c r="E150" s="172" t="s">
        <v>171</v>
      </c>
      <c r="F150" s="175"/>
    </row>
    <row r="151" spans="1:6" s="87" customFormat="1" x14ac:dyDescent="0.2">
      <c r="A151" s="169" t="s">
        <v>367</v>
      </c>
      <c r="B151" s="170">
        <v>45.08</v>
      </c>
      <c r="C151" s="171" t="s">
        <v>368</v>
      </c>
      <c r="D151" s="171" t="s">
        <v>403</v>
      </c>
      <c r="E151" s="172" t="s">
        <v>171</v>
      </c>
      <c r="F151" s="175"/>
    </row>
    <row r="152" spans="1:6" s="87" customFormat="1" x14ac:dyDescent="0.2">
      <c r="A152" s="188"/>
      <c r="B152" s="185"/>
      <c r="C152" s="186"/>
      <c r="D152" s="186"/>
      <c r="E152" s="187"/>
      <c r="F152" s="175"/>
    </row>
    <row r="153" spans="1:6" s="87" customFormat="1" x14ac:dyDescent="0.2">
      <c r="A153" s="169" t="s">
        <v>431</v>
      </c>
      <c r="B153" s="170">
        <f>36.27+147.6</f>
        <v>183.87</v>
      </c>
      <c r="C153" s="171" t="s">
        <v>432</v>
      </c>
      <c r="D153" s="171" t="s">
        <v>417</v>
      </c>
      <c r="E153" s="172" t="s">
        <v>213</v>
      </c>
      <c r="F153" s="194"/>
    </row>
    <row r="154" spans="1:6" s="87" customFormat="1" x14ac:dyDescent="0.2">
      <c r="A154" s="188"/>
      <c r="B154" s="185"/>
      <c r="C154" s="186"/>
      <c r="D154" s="186"/>
      <c r="E154" s="187"/>
      <c r="F154" s="175"/>
    </row>
    <row r="155" spans="1:6" s="87" customFormat="1" x14ac:dyDescent="0.2">
      <c r="A155" s="169">
        <v>44742</v>
      </c>
      <c r="B155" s="170">
        <f>220.15+10+10</f>
        <v>240.15</v>
      </c>
      <c r="C155" s="171" t="s">
        <v>398</v>
      </c>
      <c r="D155" s="171" t="s">
        <v>405</v>
      </c>
      <c r="E155" s="172" t="s">
        <v>171</v>
      </c>
      <c r="F155" s="175"/>
    </row>
    <row r="156" spans="1:6" s="87" customFormat="1" x14ac:dyDescent="0.2">
      <c r="A156" s="169">
        <v>44742</v>
      </c>
      <c r="B156" s="170">
        <f>(29.91+49.9)</f>
        <v>79.81</v>
      </c>
      <c r="C156" s="171" t="s">
        <v>399</v>
      </c>
      <c r="D156" s="171" t="s">
        <v>244</v>
      </c>
      <c r="E156" s="172" t="s">
        <v>171</v>
      </c>
      <c r="F156" s="175"/>
    </row>
    <row r="157" spans="1:6" s="87" customFormat="1" x14ac:dyDescent="0.2">
      <c r="A157" s="188"/>
      <c r="B157" s="185"/>
      <c r="C157" s="186"/>
      <c r="D157" s="186"/>
      <c r="E157" s="187"/>
      <c r="F157" s="1"/>
    </row>
    <row r="158" spans="1:6" s="181" customFormat="1" x14ac:dyDescent="0.2">
      <c r="A158" s="176"/>
      <c r="B158" s="175"/>
      <c r="C158" s="177"/>
      <c r="D158" s="177"/>
      <c r="E158" s="178"/>
      <c r="F158" s="180"/>
    </row>
    <row r="159" spans="1:6" s="87" customFormat="1" x14ac:dyDescent="0.2">
      <c r="A159" s="179"/>
      <c r="B159" s="175"/>
      <c r="C159" s="177"/>
      <c r="D159" s="177"/>
      <c r="E159" s="178"/>
      <c r="F159" s="1"/>
    </row>
    <row r="160" spans="1:6" s="87" customFormat="1" hidden="1" x14ac:dyDescent="0.2">
      <c r="A160" s="147"/>
      <c r="B160" s="148"/>
      <c r="C160" s="149"/>
      <c r="D160" s="149"/>
      <c r="E160" s="150"/>
      <c r="F160" s="1"/>
    </row>
    <row r="161" spans="1:6" ht="19.5" customHeight="1" x14ac:dyDescent="0.2">
      <c r="A161" s="107" t="s">
        <v>125</v>
      </c>
      <c r="B161" s="108">
        <f>SUM(B22:B160)</f>
        <v>18723.240000000013</v>
      </c>
      <c r="C161" s="168" t="str">
        <f>IF(SUBTOTAL(3,B22:B160)=SUBTOTAL(103,B22:B160),'Summary and sign-off'!$A$48,'Summary and sign-off'!$A$49)</f>
        <v>Check - there are no hidden rows with data</v>
      </c>
      <c r="D161" s="207" t="str">
        <f>IF('Summary and sign-off'!F56='Summary and sign-off'!F54,'Summary and sign-off'!A51,'Summary and sign-off'!A50)</f>
        <v>Not all lines have an entry for "Cost in NZ$" and "Type of expense"</v>
      </c>
      <c r="E161" s="207"/>
      <c r="F161" s="46"/>
    </row>
    <row r="162" spans="1:6" ht="10.5" customHeight="1" x14ac:dyDescent="0.2">
      <c r="A162" s="27"/>
      <c r="B162" s="22"/>
      <c r="C162" s="27"/>
      <c r="D162" s="27"/>
      <c r="E162" s="27"/>
      <c r="F162" s="27"/>
    </row>
    <row r="163" spans="1:6" ht="24.75" customHeight="1" x14ac:dyDescent="0.2">
      <c r="A163" s="208" t="s">
        <v>126</v>
      </c>
      <c r="B163" s="208"/>
      <c r="C163" s="208"/>
      <c r="D163" s="208"/>
      <c r="E163" s="208"/>
      <c r="F163" s="46"/>
    </row>
    <row r="164" spans="1:6" ht="27" customHeight="1" x14ac:dyDescent="0.2">
      <c r="A164" s="35" t="s">
        <v>117</v>
      </c>
      <c r="B164" s="35" t="s">
        <v>62</v>
      </c>
      <c r="C164" s="35" t="s">
        <v>127</v>
      </c>
      <c r="D164" s="35" t="s">
        <v>128</v>
      </c>
      <c r="E164" s="35" t="s">
        <v>121</v>
      </c>
      <c r="F164" s="49"/>
    </row>
    <row r="165" spans="1:6" s="87" customFormat="1" hidden="1" x14ac:dyDescent="0.2">
      <c r="A165" s="133"/>
      <c r="B165" s="134"/>
      <c r="C165" s="135"/>
      <c r="D165" s="135"/>
      <c r="E165" s="136"/>
      <c r="F165" s="1"/>
    </row>
    <row r="166" spans="1:6" s="87" customFormat="1" x14ac:dyDescent="0.2">
      <c r="A166" s="169">
        <v>44349</v>
      </c>
      <c r="B166" s="170">
        <v>34.119999999999997</v>
      </c>
      <c r="C166" s="171"/>
      <c r="D166" s="171" t="s">
        <v>172</v>
      </c>
      <c r="E166" s="172" t="s">
        <v>213</v>
      </c>
      <c r="F166" s="1"/>
    </row>
    <row r="167" spans="1:6" s="87" customFormat="1" x14ac:dyDescent="0.2">
      <c r="A167" s="169">
        <v>44350</v>
      </c>
      <c r="B167" s="170">
        <v>41.84</v>
      </c>
      <c r="C167" s="171"/>
      <c r="D167" s="171" t="s">
        <v>172</v>
      </c>
      <c r="E167" s="172" t="s">
        <v>213</v>
      </c>
      <c r="F167" s="1"/>
    </row>
    <row r="168" spans="1:6" s="87" customFormat="1" x14ac:dyDescent="0.2">
      <c r="A168" s="169">
        <v>44360</v>
      </c>
      <c r="B168" s="170">
        <v>50.49</v>
      </c>
      <c r="C168" s="171"/>
      <c r="D168" s="171" t="s">
        <v>172</v>
      </c>
      <c r="E168" s="172" t="s">
        <v>213</v>
      </c>
      <c r="F168" s="1"/>
    </row>
    <row r="169" spans="1:6" s="87" customFormat="1" x14ac:dyDescent="0.2">
      <c r="A169" s="169">
        <v>44363</v>
      </c>
      <c r="B169" s="170">
        <v>36.47</v>
      </c>
      <c r="C169" s="171"/>
      <c r="D169" s="171" t="s">
        <v>172</v>
      </c>
      <c r="E169" s="172" t="s">
        <v>213</v>
      </c>
      <c r="F169" s="1"/>
    </row>
    <row r="170" spans="1:6" s="87" customFormat="1" x14ac:dyDescent="0.2">
      <c r="A170" s="169">
        <v>44364</v>
      </c>
      <c r="B170" s="170">
        <v>51.5</v>
      </c>
      <c r="C170" s="171"/>
      <c r="D170" s="171" t="s">
        <v>172</v>
      </c>
      <c r="E170" s="172" t="s">
        <v>213</v>
      </c>
      <c r="F170" s="1"/>
    </row>
    <row r="171" spans="1:6" s="87" customFormat="1" x14ac:dyDescent="0.2">
      <c r="A171" s="169">
        <v>44392</v>
      </c>
      <c r="B171" s="170">
        <v>7.1</v>
      </c>
      <c r="C171" s="171" t="s">
        <v>387</v>
      </c>
      <c r="D171" s="171" t="s">
        <v>191</v>
      </c>
      <c r="E171" s="172" t="s">
        <v>213</v>
      </c>
      <c r="F171" s="1"/>
    </row>
    <row r="172" spans="1:6" s="87" customFormat="1" x14ac:dyDescent="0.2">
      <c r="A172" s="169">
        <v>44413</v>
      </c>
      <c r="B172" s="170">
        <v>12.98</v>
      </c>
      <c r="C172" s="171" t="s">
        <v>209</v>
      </c>
      <c r="D172" s="171" t="s">
        <v>191</v>
      </c>
      <c r="E172" s="172" t="s">
        <v>213</v>
      </c>
      <c r="F172" s="1"/>
    </row>
    <row r="173" spans="1:6" s="87" customFormat="1" x14ac:dyDescent="0.2">
      <c r="A173" s="169">
        <v>44424</v>
      </c>
      <c r="B173" s="170">
        <f>41.11+15.15</f>
        <v>56.26</v>
      </c>
      <c r="C173" s="171" t="s">
        <v>214</v>
      </c>
      <c r="D173" s="171" t="s">
        <v>182</v>
      </c>
      <c r="E173" s="172" t="s">
        <v>213</v>
      </c>
      <c r="F173" s="1"/>
    </row>
    <row r="174" spans="1:6" s="87" customFormat="1" x14ac:dyDescent="0.2">
      <c r="A174" s="169">
        <v>44502</v>
      </c>
      <c r="B174" s="170">
        <f>11.21+14.99</f>
        <v>26.200000000000003</v>
      </c>
      <c r="C174" s="171" t="s">
        <v>235</v>
      </c>
      <c r="D174" s="171" t="s">
        <v>182</v>
      </c>
      <c r="E174" s="172" t="s">
        <v>171</v>
      </c>
      <c r="F174" s="1"/>
    </row>
    <row r="175" spans="1:6" s="87" customFormat="1" x14ac:dyDescent="0.2">
      <c r="A175" s="169">
        <v>44539</v>
      </c>
      <c r="B175" s="170">
        <f>(13.67+16.01)</f>
        <v>29.68</v>
      </c>
      <c r="C175" s="171" t="s">
        <v>242</v>
      </c>
      <c r="D175" s="171" t="s">
        <v>244</v>
      </c>
      <c r="E175" s="172" t="s">
        <v>171</v>
      </c>
      <c r="F175" s="1"/>
    </row>
    <row r="176" spans="1:6" s="87" customFormat="1" x14ac:dyDescent="0.2">
      <c r="A176" s="169">
        <v>44540</v>
      </c>
      <c r="B176" s="170">
        <f>(21.89+9.78)</f>
        <v>31.67</v>
      </c>
      <c r="C176" s="171" t="s">
        <v>243</v>
      </c>
      <c r="D176" s="171" t="s">
        <v>244</v>
      </c>
      <c r="E176" s="172" t="s">
        <v>171</v>
      </c>
      <c r="F176" s="1"/>
    </row>
    <row r="177" spans="1:6" s="87" customFormat="1" x14ac:dyDescent="0.2">
      <c r="A177" s="169">
        <v>44547</v>
      </c>
      <c r="B177" s="170">
        <v>20.95</v>
      </c>
      <c r="C177" s="171" t="s">
        <v>246</v>
      </c>
      <c r="D177" s="171" t="s">
        <v>172</v>
      </c>
      <c r="E177" s="172" t="s">
        <v>213</v>
      </c>
      <c r="F177" s="1"/>
    </row>
    <row r="178" spans="1:6" s="87" customFormat="1" x14ac:dyDescent="0.2">
      <c r="A178" s="169">
        <v>44552</v>
      </c>
      <c r="B178" s="170">
        <f>7.82+9.19</f>
        <v>17.009999999999998</v>
      </c>
      <c r="C178" s="171" t="s">
        <v>252</v>
      </c>
      <c r="D178" s="171" t="s">
        <v>182</v>
      </c>
      <c r="E178" s="172" t="s">
        <v>171</v>
      </c>
      <c r="F178" s="1"/>
    </row>
    <row r="179" spans="1:6" s="87" customFormat="1" x14ac:dyDescent="0.2">
      <c r="A179" s="169">
        <v>44585</v>
      </c>
      <c r="B179" s="170">
        <f>8.03+8.49</f>
        <v>16.52</v>
      </c>
      <c r="C179" s="171" t="s">
        <v>253</v>
      </c>
      <c r="D179" s="171" t="s">
        <v>186</v>
      </c>
      <c r="E179" s="172" t="s">
        <v>171</v>
      </c>
      <c r="F179" s="1"/>
    </row>
    <row r="180" spans="1:6" s="87" customFormat="1" x14ac:dyDescent="0.2">
      <c r="A180" s="169">
        <v>44615</v>
      </c>
      <c r="B180" s="170">
        <f>11.1+9.5</f>
        <v>20.6</v>
      </c>
      <c r="C180" s="171" t="s">
        <v>275</v>
      </c>
      <c r="D180" s="171" t="s">
        <v>186</v>
      </c>
      <c r="E180" s="172" t="s">
        <v>171</v>
      </c>
      <c r="F180" s="183"/>
    </row>
    <row r="181" spans="1:6" s="181" customFormat="1" x14ac:dyDescent="0.2">
      <c r="A181" s="169">
        <v>44620</v>
      </c>
      <c r="B181" s="170">
        <v>5.91</v>
      </c>
      <c r="C181" s="171" t="s">
        <v>276</v>
      </c>
      <c r="D181" s="171" t="s">
        <v>172</v>
      </c>
      <c r="E181" s="172" t="s">
        <v>213</v>
      </c>
      <c r="F181" s="175"/>
    </row>
    <row r="182" spans="1:6" s="181" customFormat="1" x14ac:dyDescent="0.2">
      <c r="A182" s="169">
        <v>44621</v>
      </c>
      <c r="B182" s="170">
        <f>6.5+6.64</f>
        <v>13.14</v>
      </c>
      <c r="C182" s="171" t="s">
        <v>276</v>
      </c>
      <c r="D182" s="171" t="s">
        <v>186</v>
      </c>
      <c r="E182" s="172" t="s">
        <v>213</v>
      </c>
      <c r="F182" s="175"/>
    </row>
    <row r="183" spans="1:6" s="181" customFormat="1" x14ac:dyDescent="0.2">
      <c r="A183" s="169">
        <v>44627</v>
      </c>
      <c r="B183" s="170">
        <v>18.41</v>
      </c>
      <c r="C183" s="171" t="s">
        <v>253</v>
      </c>
      <c r="D183" s="171" t="s">
        <v>191</v>
      </c>
      <c r="E183" s="172" t="s">
        <v>171</v>
      </c>
      <c r="F183" s="175"/>
    </row>
    <row r="184" spans="1:6" s="181" customFormat="1" x14ac:dyDescent="0.2">
      <c r="A184" s="169">
        <v>44628</v>
      </c>
      <c r="B184" s="170">
        <v>6.5</v>
      </c>
      <c r="C184" s="171" t="s">
        <v>287</v>
      </c>
      <c r="D184" s="171" t="s">
        <v>172</v>
      </c>
      <c r="E184" s="172" t="s">
        <v>213</v>
      </c>
      <c r="F184" s="175"/>
    </row>
    <row r="185" spans="1:6" s="181" customFormat="1" x14ac:dyDescent="0.2">
      <c r="A185" s="169">
        <v>44634</v>
      </c>
      <c r="B185" s="170">
        <f>18.32+18.78</f>
        <v>37.1</v>
      </c>
      <c r="C185" s="171" t="s">
        <v>319</v>
      </c>
      <c r="D185" s="171" t="s">
        <v>378</v>
      </c>
      <c r="E185" s="172" t="s">
        <v>213</v>
      </c>
      <c r="F185" s="175"/>
    </row>
    <row r="186" spans="1:6" s="181" customFormat="1" x14ac:dyDescent="0.2">
      <c r="A186" s="169">
        <v>44649</v>
      </c>
      <c r="B186" s="170">
        <f>(25.73+9.17)</f>
        <v>34.9</v>
      </c>
      <c r="C186" s="171" t="s">
        <v>318</v>
      </c>
      <c r="D186" s="171" t="s">
        <v>186</v>
      </c>
      <c r="E186" s="172" t="s">
        <v>213</v>
      </c>
      <c r="F186" s="175"/>
    </row>
    <row r="187" spans="1:6" s="181" customFormat="1" x14ac:dyDescent="0.2">
      <c r="A187" s="169">
        <v>44656</v>
      </c>
      <c r="B187" s="170">
        <v>6.54</v>
      </c>
      <c r="C187" s="171" t="s">
        <v>329</v>
      </c>
      <c r="D187" s="171" t="s">
        <v>172</v>
      </c>
      <c r="E187" s="172" t="s">
        <v>213</v>
      </c>
      <c r="F187" s="175"/>
    </row>
    <row r="188" spans="1:6" s="181" customFormat="1" x14ac:dyDescent="0.2">
      <c r="A188" s="169">
        <v>44698</v>
      </c>
      <c r="B188" s="170">
        <v>9.1300000000000008</v>
      </c>
      <c r="C188" s="171" t="s">
        <v>386</v>
      </c>
      <c r="D188" s="171" t="s">
        <v>172</v>
      </c>
      <c r="E188" s="172" t="s">
        <v>171</v>
      </c>
      <c r="F188" s="175"/>
    </row>
    <row r="189" spans="1:6" s="181" customFormat="1" x14ac:dyDescent="0.2">
      <c r="A189" s="169">
        <v>44700</v>
      </c>
      <c r="B189" s="170">
        <v>7</v>
      </c>
      <c r="C189" s="171" t="s">
        <v>406</v>
      </c>
      <c r="D189" s="171" t="s">
        <v>172</v>
      </c>
      <c r="E189" s="172" t="s">
        <v>171</v>
      </c>
      <c r="F189" s="175"/>
    </row>
    <row r="190" spans="1:6" s="181" customFormat="1" x14ac:dyDescent="0.2">
      <c r="A190" s="169" t="s">
        <v>384</v>
      </c>
      <c r="B190" s="170">
        <v>26.37</v>
      </c>
      <c r="C190" s="171" t="s">
        <v>385</v>
      </c>
      <c r="D190" s="171" t="s">
        <v>172</v>
      </c>
      <c r="E190" s="172" t="s">
        <v>171</v>
      </c>
      <c r="F190" s="175"/>
    </row>
    <row r="191" spans="1:6" s="181" customFormat="1" x14ac:dyDescent="0.2">
      <c r="A191" s="169">
        <v>44712</v>
      </c>
      <c r="B191" s="170">
        <v>7.78</v>
      </c>
      <c r="C191" s="171" t="s">
        <v>388</v>
      </c>
      <c r="D191" s="171" t="s">
        <v>172</v>
      </c>
      <c r="E191" s="172" t="s">
        <v>213</v>
      </c>
      <c r="F191" s="175"/>
    </row>
    <row r="192" spans="1:6" s="181" customFormat="1" x14ac:dyDescent="0.2">
      <c r="A192" s="169">
        <v>44728</v>
      </c>
      <c r="B192" s="170">
        <v>8.0500000000000007</v>
      </c>
      <c r="C192" s="171" t="s">
        <v>397</v>
      </c>
      <c r="D192" s="171" t="s">
        <v>172</v>
      </c>
      <c r="E192" s="172" t="s">
        <v>213</v>
      </c>
      <c r="F192" s="175"/>
    </row>
    <row r="193" spans="1:6" s="181" customFormat="1" x14ac:dyDescent="0.2">
      <c r="A193" s="169">
        <v>44732</v>
      </c>
      <c r="B193" s="170">
        <v>6.3</v>
      </c>
      <c r="C193" s="171" t="s">
        <v>404</v>
      </c>
      <c r="D193" s="171" t="s">
        <v>172</v>
      </c>
      <c r="E193" s="172" t="s">
        <v>213</v>
      </c>
      <c r="F193" s="175"/>
    </row>
    <row r="194" spans="1:6" s="181" customFormat="1" x14ac:dyDescent="0.2">
      <c r="A194" s="169">
        <v>44735</v>
      </c>
      <c r="B194" s="170">
        <v>21.16</v>
      </c>
      <c r="C194" s="171" t="s">
        <v>402</v>
      </c>
      <c r="D194" s="171" t="s">
        <v>403</v>
      </c>
      <c r="E194" s="172" t="s">
        <v>171</v>
      </c>
      <c r="F194" s="175"/>
    </row>
    <row r="195" spans="1:6" s="87" customFormat="1" hidden="1" x14ac:dyDescent="0.2">
      <c r="A195" s="133"/>
      <c r="B195" s="134"/>
      <c r="C195" s="135"/>
      <c r="D195" s="135"/>
      <c r="E195" s="136"/>
      <c r="F195" s="1"/>
    </row>
    <row r="196" spans="1:6" ht="19.5" customHeight="1" x14ac:dyDescent="0.2">
      <c r="A196" s="107" t="s">
        <v>129</v>
      </c>
      <c r="B196" s="108">
        <f>SUM(B165:B195)</f>
        <v>661.67999999999984</v>
      </c>
      <c r="C196" s="168" t="str">
        <f>IF(SUBTOTAL(3,B165:B195)=SUBTOTAL(103,B165:B195),'Summary and sign-off'!$A$48,'Summary and sign-off'!$A$49)</f>
        <v>Check - there are no hidden rows with data</v>
      </c>
      <c r="D196" s="207" t="str">
        <f>IF('Summary and sign-off'!F57='Summary and sign-off'!F54,'Summary and sign-off'!A51,'Summary and sign-off'!A50)</f>
        <v>Check - each entry provides sufficient information</v>
      </c>
      <c r="E196" s="207"/>
      <c r="F196" s="46"/>
    </row>
    <row r="197" spans="1:6" ht="10.5" customHeight="1" x14ac:dyDescent="0.2">
      <c r="A197" s="27"/>
      <c r="B197" s="92"/>
      <c r="C197" s="22"/>
      <c r="D197" s="27"/>
      <c r="E197" s="27"/>
      <c r="F197" s="27"/>
    </row>
    <row r="198" spans="1:6" ht="34.5" customHeight="1" x14ac:dyDescent="0.2">
      <c r="A198" s="50" t="s">
        <v>130</v>
      </c>
      <c r="B198" s="93">
        <f>B18+B161+B196</f>
        <v>19384.920000000013</v>
      </c>
      <c r="C198" s="51"/>
      <c r="D198" s="51"/>
      <c r="E198" s="51"/>
      <c r="F198" s="26"/>
    </row>
    <row r="199" spans="1:6" x14ac:dyDescent="0.2">
      <c r="A199" s="27"/>
      <c r="B199" s="22"/>
      <c r="C199" s="27"/>
      <c r="D199" s="27"/>
      <c r="E199" s="27"/>
      <c r="F199" s="27"/>
    </row>
    <row r="200" spans="1:6" x14ac:dyDescent="0.2">
      <c r="A200" s="52" t="s">
        <v>73</v>
      </c>
      <c r="B200" s="25"/>
      <c r="C200" s="26"/>
      <c r="D200" s="26"/>
      <c r="E200" s="26"/>
      <c r="F200" s="27"/>
    </row>
    <row r="201" spans="1:6" ht="12.75" customHeight="1" x14ac:dyDescent="0.2">
      <c r="A201" s="23" t="s">
        <v>131</v>
      </c>
      <c r="B201" s="53"/>
      <c r="C201" s="53"/>
      <c r="D201" s="32"/>
      <c r="E201" s="32"/>
      <c r="F201" s="27"/>
    </row>
    <row r="202" spans="1:6" ht="13.15" customHeight="1" x14ac:dyDescent="0.2">
      <c r="A202" s="31" t="s">
        <v>132</v>
      </c>
      <c r="B202" s="27"/>
      <c r="C202" s="32"/>
      <c r="D202" s="27"/>
      <c r="E202" s="32"/>
      <c r="F202" s="27"/>
    </row>
    <row r="203" spans="1:6" x14ac:dyDescent="0.2">
      <c r="A203" s="31" t="s">
        <v>133</v>
      </c>
      <c r="B203" s="32"/>
      <c r="C203" s="32"/>
      <c r="D203" s="32"/>
      <c r="E203" s="54"/>
      <c r="F203" s="46"/>
    </row>
    <row r="204" spans="1:6" x14ac:dyDescent="0.2">
      <c r="A204" s="23" t="s">
        <v>79</v>
      </c>
      <c r="B204" s="25"/>
      <c r="C204" s="26"/>
      <c r="D204" s="26"/>
      <c r="E204" s="26"/>
      <c r="F204" s="27"/>
    </row>
    <row r="205" spans="1:6" ht="13.15" customHeight="1" x14ac:dyDescent="0.2">
      <c r="A205" s="31" t="s">
        <v>134</v>
      </c>
      <c r="B205" s="27"/>
      <c r="C205" s="32"/>
      <c r="D205" s="27"/>
      <c r="E205" s="32"/>
      <c r="F205" s="27"/>
    </row>
    <row r="206" spans="1:6" x14ac:dyDescent="0.2">
      <c r="A206" s="31" t="s">
        <v>135</v>
      </c>
      <c r="B206" s="32"/>
      <c r="C206" s="32"/>
      <c r="D206" s="32"/>
      <c r="E206" s="54"/>
      <c r="F206" s="46"/>
    </row>
    <row r="207" spans="1:6" x14ac:dyDescent="0.2">
      <c r="A207" s="36" t="s">
        <v>136</v>
      </c>
      <c r="B207" s="36"/>
      <c r="C207" s="36"/>
      <c r="D207" s="36"/>
      <c r="E207" s="54"/>
      <c r="F207" s="46"/>
    </row>
    <row r="208" spans="1:6" x14ac:dyDescent="0.2">
      <c r="A208" s="40"/>
      <c r="B208" s="27"/>
      <c r="C208" s="27"/>
      <c r="D208" s="27"/>
      <c r="E208" s="46"/>
      <c r="F208" s="46"/>
    </row>
    <row r="209" spans="1:6" hidden="1" x14ac:dyDescent="0.2">
      <c r="A209" s="40"/>
      <c r="B209" s="27"/>
      <c r="C209" s="27"/>
      <c r="D209" s="27"/>
      <c r="E209" s="46"/>
      <c r="F209" s="46"/>
    </row>
    <row r="210" spans="1:6" x14ac:dyDescent="0.2"/>
    <row r="211" spans="1:6" x14ac:dyDescent="0.2"/>
    <row r="212" spans="1:6" x14ac:dyDescent="0.2"/>
    <row r="213" spans="1:6" x14ac:dyDescent="0.2"/>
    <row r="214" spans="1:6" ht="12.75" hidden="1" customHeight="1" x14ac:dyDescent="0.2"/>
    <row r="215" spans="1:6" x14ac:dyDescent="0.2"/>
    <row r="216" spans="1:6" x14ac:dyDescent="0.2"/>
    <row r="217" spans="1:6" hidden="1" x14ac:dyDescent="0.2">
      <c r="A217" s="55"/>
      <c r="B217" s="46"/>
      <c r="C217" s="46"/>
      <c r="D217" s="46"/>
      <c r="E217" s="46"/>
      <c r="F217" s="46"/>
    </row>
    <row r="218" spans="1:6" hidden="1" x14ac:dyDescent="0.2">
      <c r="A218" s="55"/>
      <c r="B218" s="46"/>
      <c r="C218" s="46"/>
      <c r="D218" s="46"/>
      <c r="E218" s="46"/>
      <c r="F218" s="46"/>
    </row>
    <row r="219" spans="1:6" hidden="1" x14ac:dyDescent="0.2">
      <c r="A219" s="55"/>
      <c r="B219" s="46"/>
      <c r="C219" s="46"/>
      <c r="D219" s="46"/>
      <c r="E219" s="46"/>
      <c r="F219" s="46"/>
    </row>
    <row r="220" spans="1:6" hidden="1" x14ac:dyDescent="0.2">
      <c r="A220" s="55"/>
      <c r="B220" s="46"/>
      <c r="C220" s="46"/>
      <c r="D220" s="46"/>
      <c r="E220" s="46"/>
      <c r="F220" s="46"/>
    </row>
    <row r="221" spans="1:6" hidden="1" x14ac:dyDescent="0.2">
      <c r="A221" s="55"/>
      <c r="B221" s="46"/>
      <c r="C221" s="46"/>
      <c r="D221" s="46"/>
      <c r="E221" s="46"/>
      <c r="F221" s="46"/>
    </row>
    <row r="222" spans="1:6" x14ac:dyDescent="0.2"/>
    <row r="223" spans="1:6" x14ac:dyDescent="0.2"/>
    <row r="224" spans="1:6"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sheetData>
  <sheetProtection sheet="1" formatCells="0" formatRows="0" insertColumns="0" insertRows="0" deleteRows="0"/>
  <mergeCells count="15">
    <mergeCell ref="B7:E7"/>
    <mergeCell ref="B5:E5"/>
    <mergeCell ref="D196:E196"/>
    <mergeCell ref="A1:E1"/>
    <mergeCell ref="A20:E20"/>
    <mergeCell ref="A163:E163"/>
    <mergeCell ref="B2:E2"/>
    <mergeCell ref="B3:E3"/>
    <mergeCell ref="B4:E4"/>
    <mergeCell ref="A8:E8"/>
    <mergeCell ref="A9:E9"/>
    <mergeCell ref="B6:E6"/>
    <mergeCell ref="D18:E18"/>
    <mergeCell ref="D161:E161"/>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9:A160 A12 A17 A165:A170 A195 A22:A3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64 A21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6 A171:A194 A37:A15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B12:B17 B22:B160 B165:B195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1"/>
  <sheetViews>
    <sheetView topLeftCell="A4" zoomScaleNormal="100" workbookViewId="0">
      <selection activeCell="B6" sqref="B6:E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28515625" style="16" hidden="1" customWidth="1"/>
    <col min="11" max="13" width="0" style="16" hidden="1" customWidth="1"/>
    <col min="14" max="16384" width="0" style="16" hidden="1"/>
  </cols>
  <sheetData>
    <row r="1" spans="1:6" ht="26.25" customHeight="1" x14ac:dyDescent="0.2">
      <c r="A1" s="203" t="s">
        <v>109</v>
      </c>
      <c r="B1" s="203"/>
      <c r="C1" s="203"/>
      <c r="D1" s="203"/>
      <c r="E1" s="203"/>
      <c r="F1" s="38"/>
    </row>
    <row r="2" spans="1:6" ht="21" customHeight="1" x14ac:dyDescent="0.2">
      <c r="A2" s="4" t="s">
        <v>52</v>
      </c>
      <c r="B2" s="206" t="str">
        <f>'Summary and sign-off'!B2:F2</f>
        <v>Sport NZ (Wgtn) and HPSNZ (Akld)</v>
      </c>
      <c r="C2" s="206"/>
      <c r="D2" s="206"/>
      <c r="E2" s="206"/>
      <c r="F2" s="38"/>
    </row>
    <row r="3" spans="1:6" ht="21" customHeight="1" x14ac:dyDescent="0.2">
      <c r="A3" s="4" t="s">
        <v>110</v>
      </c>
      <c r="B3" s="206" t="str">
        <f>'Summary and sign-off'!B3:F3</f>
        <v>Raelene Castle</v>
      </c>
      <c r="C3" s="206"/>
      <c r="D3" s="206"/>
      <c r="E3" s="206"/>
      <c r="F3" s="38"/>
    </row>
    <row r="4" spans="1:6" ht="21" customHeight="1" x14ac:dyDescent="0.2">
      <c r="A4" s="4" t="s">
        <v>111</v>
      </c>
      <c r="B4" s="206">
        <f>'Summary and sign-off'!B4:F4</f>
        <v>44378</v>
      </c>
      <c r="C4" s="206"/>
      <c r="D4" s="206"/>
      <c r="E4" s="206"/>
      <c r="F4" s="38"/>
    </row>
    <row r="5" spans="1:6" ht="21" customHeight="1" x14ac:dyDescent="0.2">
      <c r="A5" s="4" t="s">
        <v>112</v>
      </c>
      <c r="B5" s="206">
        <f>'Summary and sign-off'!B5:F5</f>
        <v>44742</v>
      </c>
      <c r="C5" s="206"/>
      <c r="D5" s="206"/>
      <c r="E5" s="206"/>
      <c r="F5" s="38"/>
    </row>
    <row r="6" spans="1:6" ht="21" customHeight="1" x14ac:dyDescent="0.2">
      <c r="A6" s="4" t="s">
        <v>113</v>
      </c>
      <c r="B6" s="201" t="s">
        <v>81</v>
      </c>
      <c r="C6" s="201"/>
      <c r="D6" s="201"/>
      <c r="E6" s="201"/>
      <c r="F6" s="38"/>
    </row>
    <row r="7" spans="1:6" ht="21" customHeight="1" x14ac:dyDescent="0.2">
      <c r="A7" s="4" t="s">
        <v>56</v>
      </c>
      <c r="B7" s="201" t="s">
        <v>83</v>
      </c>
      <c r="C7" s="201"/>
      <c r="D7" s="201"/>
      <c r="E7" s="201"/>
      <c r="F7" s="38"/>
    </row>
    <row r="8" spans="1:6" ht="35.25" customHeight="1" x14ac:dyDescent="0.25">
      <c r="A8" s="216" t="s">
        <v>137</v>
      </c>
      <c r="B8" s="216"/>
      <c r="C8" s="217"/>
      <c r="D8" s="217"/>
      <c r="E8" s="217"/>
      <c r="F8" s="42"/>
    </row>
    <row r="9" spans="1:6" ht="35.25" customHeight="1" x14ac:dyDescent="0.25">
      <c r="A9" s="214" t="s">
        <v>138</v>
      </c>
      <c r="B9" s="215"/>
      <c r="C9" s="215"/>
      <c r="D9" s="215"/>
      <c r="E9" s="215"/>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v>44405</v>
      </c>
      <c r="B12" s="158">
        <v>27.83</v>
      </c>
      <c r="C12" s="162" t="s">
        <v>229</v>
      </c>
      <c r="D12" s="162" t="s">
        <v>227</v>
      </c>
      <c r="E12" s="163" t="s">
        <v>171</v>
      </c>
      <c r="F12" s="175"/>
    </row>
    <row r="13" spans="1:6" s="87" customFormat="1" x14ac:dyDescent="0.2">
      <c r="A13" s="157">
        <v>44413</v>
      </c>
      <c r="B13" s="158">
        <v>33.909999999999997</v>
      </c>
      <c r="C13" s="162" t="s">
        <v>230</v>
      </c>
      <c r="D13" s="162" t="s">
        <v>227</v>
      </c>
      <c r="E13" s="163" t="s">
        <v>213</v>
      </c>
      <c r="F13" s="175"/>
    </row>
    <row r="14" spans="1:6" s="87" customFormat="1" x14ac:dyDescent="0.2">
      <c r="A14" s="157">
        <v>44420</v>
      </c>
      <c r="B14" s="158">
        <v>39.130000000000003</v>
      </c>
      <c r="C14" s="162" t="s">
        <v>278</v>
      </c>
      <c r="D14" s="162" t="s">
        <v>233</v>
      </c>
      <c r="E14" s="163" t="s">
        <v>204</v>
      </c>
      <c r="F14" s="2"/>
    </row>
    <row r="15" spans="1:6" s="87" customFormat="1" x14ac:dyDescent="0.2">
      <c r="A15" s="157">
        <v>44421</v>
      </c>
      <c r="B15" s="158">
        <v>33.479999999999997</v>
      </c>
      <c r="C15" s="162" t="s">
        <v>245</v>
      </c>
      <c r="D15" s="162" t="s">
        <v>233</v>
      </c>
      <c r="E15" s="163" t="s">
        <v>204</v>
      </c>
      <c r="F15" s="2"/>
    </row>
    <row r="16" spans="1:6" s="87" customFormat="1" x14ac:dyDescent="0.2">
      <c r="A16" s="157">
        <v>44414</v>
      </c>
      <c r="B16" s="158">
        <v>43.48</v>
      </c>
      <c r="C16" s="162" t="s">
        <v>279</v>
      </c>
      <c r="D16" s="162" t="s">
        <v>234</v>
      </c>
      <c r="E16" s="163" t="s">
        <v>171</v>
      </c>
      <c r="F16" s="2"/>
    </row>
    <row r="17" spans="1:6" s="87" customFormat="1" x14ac:dyDescent="0.2">
      <c r="A17" s="157">
        <v>44585</v>
      </c>
      <c r="B17" s="158">
        <v>38.090000000000003</v>
      </c>
      <c r="C17" s="162" t="s">
        <v>281</v>
      </c>
      <c r="D17" s="162" t="s">
        <v>257</v>
      </c>
      <c r="E17" s="163" t="s">
        <v>171</v>
      </c>
      <c r="F17" s="175"/>
    </row>
    <row r="18" spans="1:6" s="87" customFormat="1" x14ac:dyDescent="0.2">
      <c r="A18" s="157">
        <v>44610</v>
      </c>
      <c r="B18" s="158">
        <v>46.96</v>
      </c>
      <c r="C18" s="162" t="s">
        <v>280</v>
      </c>
      <c r="D18" s="162" t="s">
        <v>282</v>
      </c>
      <c r="E18" s="163" t="s">
        <v>171</v>
      </c>
      <c r="F18" s="175"/>
    </row>
    <row r="19" spans="1:6" s="87" customFormat="1" x14ac:dyDescent="0.2">
      <c r="A19" s="157">
        <v>44615</v>
      </c>
      <c r="B19" s="158">
        <v>29.57</v>
      </c>
      <c r="C19" s="162" t="s">
        <v>283</v>
      </c>
      <c r="D19" s="162" t="s">
        <v>233</v>
      </c>
      <c r="E19" s="163" t="s">
        <v>171</v>
      </c>
      <c r="F19" s="175"/>
    </row>
    <row r="20" spans="1:6" s="87" customFormat="1" x14ac:dyDescent="0.2">
      <c r="A20" s="157">
        <v>44616</v>
      </c>
      <c r="B20" s="158">
        <v>51.74</v>
      </c>
      <c r="C20" s="162" t="s">
        <v>284</v>
      </c>
      <c r="D20" s="162" t="s">
        <v>285</v>
      </c>
      <c r="E20" s="163" t="s">
        <v>171</v>
      </c>
      <c r="F20" s="175"/>
    </row>
    <row r="21" spans="1:6" s="87" customFormat="1" x14ac:dyDescent="0.2">
      <c r="A21" s="157">
        <v>44671</v>
      </c>
      <c r="B21" s="158">
        <v>47.54</v>
      </c>
      <c r="C21" s="162" t="s">
        <v>330</v>
      </c>
      <c r="D21" s="162" t="s">
        <v>285</v>
      </c>
      <c r="E21" s="163" t="s">
        <v>213</v>
      </c>
      <c r="F21" s="175"/>
    </row>
    <row r="22" spans="1:6" s="87" customFormat="1" x14ac:dyDescent="0.2">
      <c r="A22" s="157">
        <v>44694</v>
      </c>
      <c r="B22" s="158">
        <v>66.959999999999994</v>
      </c>
      <c r="C22" s="162" t="s">
        <v>391</v>
      </c>
      <c r="D22" s="162" t="s">
        <v>425</v>
      </c>
      <c r="E22" s="163" t="s">
        <v>204</v>
      </c>
      <c r="F22" s="175"/>
    </row>
    <row r="23" spans="1:6" s="87" customFormat="1" x14ac:dyDescent="0.2">
      <c r="A23" s="157">
        <v>44712</v>
      </c>
      <c r="B23" s="158">
        <v>34.880000000000003</v>
      </c>
      <c r="C23" s="162" t="s">
        <v>410</v>
      </c>
      <c r="D23" s="162" t="s">
        <v>282</v>
      </c>
      <c r="E23" s="163" t="s">
        <v>213</v>
      </c>
      <c r="F23" s="175"/>
    </row>
    <row r="24" spans="1:6" s="87" customFormat="1" x14ac:dyDescent="0.2">
      <c r="A24" s="157">
        <v>44712</v>
      </c>
      <c r="B24" s="158">
        <v>371</v>
      </c>
      <c r="C24" s="162" t="s">
        <v>409</v>
      </c>
      <c r="D24" s="162" t="s">
        <v>369</v>
      </c>
      <c r="E24" s="163" t="s">
        <v>213</v>
      </c>
      <c r="F24" s="175"/>
    </row>
    <row r="25" spans="1:6" s="87" customFormat="1" x14ac:dyDescent="0.2">
      <c r="A25" s="157">
        <v>44732</v>
      </c>
      <c r="B25" s="158">
        <v>438.6</v>
      </c>
      <c r="C25" s="162" t="s">
        <v>408</v>
      </c>
      <c r="D25" s="162" t="s">
        <v>401</v>
      </c>
      <c r="E25" s="163" t="s">
        <v>213</v>
      </c>
      <c r="F25" s="175"/>
    </row>
    <row r="26" spans="1:6" s="87" customFormat="1" ht="11.25" hidden="1" customHeight="1" x14ac:dyDescent="0.2">
      <c r="A26" s="137"/>
      <c r="B26" s="134"/>
      <c r="C26" s="138"/>
      <c r="D26" s="138"/>
      <c r="E26" s="139"/>
      <c r="F26" s="2"/>
    </row>
    <row r="27" spans="1:6" ht="34.5" customHeight="1" x14ac:dyDescent="0.2">
      <c r="A27" s="88" t="s">
        <v>142</v>
      </c>
      <c r="B27" s="97">
        <f>SUM(B11:B26)</f>
        <v>1303.17</v>
      </c>
      <c r="C27" s="106" t="str">
        <f>IF(SUBTOTAL(3,B11:B26)=SUBTOTAL(103,B11:B26),'Summary and sign-off'!$A$48,'Summary and sign-off'!$A$49)</f>
        <v>Check - there are no hidden rows with data</v>
      </c>
      <c r="D27" s="207" t="str">
        <f>IF('Summary and sign-off'!F58='Summary and sign-off'!F54,'Summary and sign-off'!A51,'Summary and sign-off'!A50)</f>
        <v>Check - each entry provides sufficient information</v>
      </c>
      <c r="E27" s="207"/>
      <c r="F27" s="2"/>
    </row>
    <row r="28" spans="1:6" x14ac:dyDescent="0.2">
      <c r="A28" s="21"/>
      <c r="B28" s="20"/>
      <c r="C28" s="20"/>
      <c r="D28" s="20"/>
      <c r="E28" s="20"/>
      <c r="F28" s="38"/>
    </row>
    <row r="29" spans="1:6" x14ac:dyDescent="0.2">
      <c r="A29" s="21" t="s">
        <v>73</v>
      </c>
      <c r="B29" s="22"/>
      <c r="C29" s="27"/>
      <c r="D29" s="20"/>
      <c r="E29" s="20"/>
      <c r="F29" s="38"/>
    </row>
    <row r="30" spans="1:6" ht="12.75" customHeight="1" x14ac:dyDescent="0.2">
      <c r="A30" s="23" t="s">
        <v>143</v>
      </c>
      <c r="B30" s="23"/>
      <c r="C30" s="23"/>
      <c r="D30" s="23"/>
      <c r="E30" s="23"/>
      <c r="F30" s="38"/>
    </row>
    <row r="31" spans="1:6" x14ac:dyDescent="0.2">
      <c r="A31" s="23" t="s">
        <v>144</v>
      </c>
      <c r="B31" s="31"/>
      <c r="C31" s="43"/>
      <c r="D31" s="44"/>
      <c r="E31" s="44"/>
      <c r="F31" s="38"/>
    </row>
    <row r="32" spans="1:6" x14ac:dyDescent="0.2">
      <c r="A32" s="23" t="s">
        <v>79</v>
      </c>
      <c r="B32" s="25"/>
      <c r="C32" s="26"/>
      <c r="D32" s="26"/>
      <c r="E32" s="26"/>
      <c r="F32" s="27"/>
    </row>
    <row r="33" spans="1:6" x14ac:dyDescent="0.2">
      <c r="A33" s="31" t="s">
        <v>145</v>
      </c>
      <c r="B33" s="31"/>
      <c r="C33" s="43"/>
      <c r="D33" s="43"/>
      <c r="E33" s="43"/>
      <c r="F33" s="38"/>
    </row>
    <row r="34" spans="1:6" ht="12.75" customHeight="1" x14ac:dyDescent="0.2">
      <c r="A34" s="31" t="s">
        <v>146</v>
      </c>
      <c r="B34" s="31"/>
      <c r="C34" s="45"/>
      <c r="D34" s="45"/>
      <c r="E34" s="33"/>
      <c r="F34" s="38"/>
    </row>
    <row r="35" spans="1:6" x14ac:dyDescent="0.2">
      <c r="A35" s="20"/>
      <c r="B35" s="20"/>
      <c r="C35" s="20"/>
      <c r="D35" s="20"/>
      <c r="E35" s="20"/>
      <c r="F35" s="38"/>
    </row>
    <row r="36" spans="1:6" x14ac:dyDescent="0.2"/>
    <row r="37" spans="1:6" x14ac:dyDescent="0.2"/>
    <row r="38" spans="1:6" x14ac:dyDescent="0.2"/>
    <row r="39" spans="1:6" x14ac:dyDescent="0.2"/>
    <row r="40" spans="1:6" x14ac:dyDescent="0.2"/>
    <row r="41" spans="1:6" x14ac:dyDescent="0.2"/>
    <row r="42" spans="1:6" x14ac:dyDescent="0.2"/>
    <row r="43" spans="1:6" x14ac:dyDescent="0.2"/>
    <row r="48" spans="1:6" x14ac:dyDescent="0.2"/>
    <row r="50" x14ac:dyDescent="0.2"/>
    <row r="51" x14ac:dyDescent="0.2"/>
  </sheetData>
  <sheetProtection sheet="1" formatCells="0" insertRows="0" deleteRows="0"/>
  <mergeCells count="10">
    <mergeCell ref="D27:E27"/>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6"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5"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6" sqref="B6:E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7109375" style="16" customWidth="1"/>
    <col min="7" max="10" width="9.28515625" style="16" hidden="1" customWidth="1"/>
    <col min="11" max="13" width="0" style="16" hidden="1" customWidth="1"/>
    <col min="14" max="16384" width="9.28515625" style="16" hidden="1"/>
  </cols>
  <sheetData>
    <row r="1" spans="1:6" ht="26.25" customHeight="1" x14ac:dyDescent="0.2">
      <c r="A1" s="203" t="s">
        <v>109</v>
      </c>
      <c r="B1" s="203"/>
      <c r="C1" s="203"/>
      <c r="D1" s="203"/>
      <c r="E1" s="203"/>
      <c r="F1" s="24"/>
    </row>
    <row r="2" spans="1:6" ht="21" customHeight="1" x14ac:dyDescent="0.2">
      <c r="A2" s="4" t="s">
        <v>52</v>
      </c>
      <c r="B2" s="206" t="str">
        <f>'Summary and sign-off'!B2:F2</f>
        <v>Sport NZ (Wgtn) and HPSNZ (Akld)</v>
      </c>
      <c r="C2" s="206"/>
      <c r="D2" s="206"/>
      <c r="E2" s="206"/>
      <c r="F2" s="24"/>
    </row>
    <row r="3" spans="1:6" ht="21" customHeight="1" x14ac:dyDescent="0.2">
      <c r="A3" s="4" t="s">
        <v>110</v>
      </c>
      <c r="B3" s="206" t="str">
        <f>'Summary and sign-off'!B3:F3</f>
        <v>Raelene Castle</v>
      </c>
      <c r="C3" s="206"/>
      <c r="D3" s="206"/>
      <c r="E3" s="206"/>
      <c r="F3" s="24"/>
    </row>
    <row r="4" spans="1:6" ht="21" customHeight="1" x14ac:dyDescent="0.2">
      <c r="A4" s="4" t="s">
        <v>111</v>
      </c>
      <c r="B4" s="206">
        <f>'Summary and sign-off'!B4:F4</f>
        <v>44378</v>
      </c>
      <c r="C4" s="206"/>
      <c r="D4" s="206"/>
      <c r="E4" s="206"/>
      <c r="F4" s="24"/>
    </row>
    <row r="5" spans="1:6" ht="21" customHeight="1" x14ac:dyDescent="0.2">
      <c r="A5" s="4" t="s">
        <v>112</v>
      </c>
      <c r="B5" s="206">
        <f>'Summary and sign-off'!B5:F5</f>
        <v>44742</v>
      </c>
      <c r="C5" s="206"/>
      <c r="D5" s="206"/>
      <c r="E5" s="206"/>
      <c r="F5" s="24"/>
    </row>
    <row r="6" spans="1:6" ht="21" customHeight="1" x14ac:dyDescent="0.2">
      <c r="A6" s="4" t="s">
        <v>113</v>
      </c>
      <c r="B6" s="201" t="s">
        <v>81</v>
      </c>
      <c r="C6" s="201"/>
      <c r="D6" s="201"/>
      <c r="E6" s="201"/>
      <c r="F6" s="34"/>
    </row>
    <row r="7" spans="1:6" ht="21" customHeight="1" x14ac:dyDescent="0.2">
      <c r="A7" s="4" t="s">
        <v>56</v>
      </c>
      <c r="B7" s="201" t="s">
        <v>83</v>
      </c>
      <c r="C7" s="201"/>
      <c r="D7" s="201"/>
      <c r="E7" s="201"/>
      <c r="F7" s="34"/>
    </row>
    <row r="8" spans="1:6" ht="35.25" customHeight="1" x14ac:dyDescent="0.2">
      <c r="A8" s="210" t="s">
        <v>147</v>
      </c>
      <c r="B8" s="210"/>
      <c r="C8" s="217"/>
      <c r="D8" s="217"/>
      <c r="E8" s="217"/>
      <c r="F8" s="24"/>
    </row>
    <row r="9" spans="1:6" ht="35.25" customHeight="1" x14ac:dyDescent="0.2">
      <c r="A9" s="218" t="s">
        <v>148</v>
      </c>
      <c r="B9" s="219"/>
      <c r="C9" s="219"/>
      <c r="D9" s="219"/>
      <c r="E9" s="219"/>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c r="B12" s="158"/>
      <c r="C12" s="162"/>
      <c r="D12" s="162"/>
      <c r="E12" s="163"/>
      <c r="F12" s="3"/>
    </row>
    <row r="13" spans="1:6" s="87" customFormat="1" x14ac:dyDescent="0.2">
      <c r="A13" s="157"/>
      <c r="B13" s="158"/>
      <c r="C13" s="162"/>
      <c r="D13" s="162"/>
      <c r="E13" s="163"/>
      <c r="F13" s="3"/>
    </row>
    <row r="14" spans="1:6" s="87" customFormat="1" x14ac:dyDescent="0.2">
      <c r="A14" s="157"/>
      <c r="B14" s="158"/>
      <c r="C14" s="162"/>
      <c r="D14" s="162"/>
      <c r="E14" s="163"/>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61"/>
      <c r="B19" s="158"/>
      <c r="C19" s="162"/>
      <c r="D19" s="162"/>
      <c r="E19" s="163"/>
      <c r="F19" s="3"/>
    </row>
    <row r="20" spans="1:6" s="87" customFormat="1" x14ac:dyDescent="0.2">
      <c r="A20" s="161"/>
      <c r="B20" s="158"/>
      <c r="C20" s="162"/>
      <c r="D20" s="162"/>
      <c r="E20" s="163"/>
      <c r="F20" s="3"/>
    </row>
    <row r="21" spans="1:6" s="87" customFormat="1" hidden="1" x14ac:dyDescent="0.2">
      <c r="A21" s="137"/>
      <c r="B21" s="134"/>
      <c r="C21" s="138"/>
      <c r="D21" s="138"/>
      <c r="E21" s="139"/>
      <c r="F21" s="3"/>
    </row>
    <row r="22" spans="1:6" ht="34.5" customHeight="1" x14ac:dyDescent="0.2">
      <c r="A22" s="88" t="s">
        <v>151</v>
      </c>
      <c r="B22" s="97">
        <f>SUM(B11:B21)</f>
        <v>0</v>
      </c>
      <c r="C22" s="106" t="str">
        <f>IF(SUBTOTAL(3,B11:B21)=SUBTOTAL(103,B11:B21),'Summary and sign-off'!$A$48,'Summary and sign-off'!$A$49)</f>
        <v>Check - there are no hidden rows with data</v>
      </c>
      <c r="D22" s="207" t="str">
        <f>IF('Summary and sign-off'!F59='Summary and sign-off'!F54,'Summary and sign-off'!A51,'Summary and sign-off'!A50)</f>
        <v>Check - each entry provides sufficient information</v>
      </c>
      <c r="E22" s="207"/>
      <c r="F22" s="37"/>
    </row>
    <row r="23" spans="1:6" ht="14.25" customHeight="1" x14ac:dyDescent="0.2">
      <c r="A23" s="38"/>
      <c r="B23" s="27"/>
      <c r="C23" s="20"/>
      <c r="D23" s="20"/>
      <c r="E23" s="20"/>
      <c r="F23" s="24"/>
    </row>
    <row r="24" spans="1:6" x14ac:dyDescent="0.2">
      <c r="A24" s="21" t="s">
        <v>152</v>
      </c>
      <c r="B24" s="20"/>
      <c r="C24" s="20"/>
      <c r="D24" s="20"/>
      <c r="E24" s="20"/>
      <c r="F24" s="24"/>
    </row>
    <row r="25" spans="1:6" ht="12.75" customHeight="1" x14ac:dyDescent="0.2">
      <c r="A25" s="23" t="s">
        <v>131</v>
      </c>
      <c r="B25" s="20"/>
      <c r="C25" s="20"/>
      <c r="D25" s="20"/>
      <c r="E25" s="20"/>
      <c r="F25" s="24"/>
    </row>
    <row r="26" spans="1:6" x14ac:dyDescent="0.2">
      <c r="A26" s="23" t="s">
        <v>79</v>
      </c>
      <c r="B26" s="25"/>
      <c r="C26" s="26"/>
      <c r="D26" s="26"/>
      <c r="E26" s="26"/>
      <c r="F26" s="27"/>
    </row>
    <row r="27" spans="1:6" x14ac:dyDescent="0.2">
      <c r="A27" s="31" t="s">
        <v>145</v>
      </c>
      <c r="B27" s="32"/>
      <c r="C27" s="27"/>
      <c r="D27" s="27"/>
      <c r="E27" s="27"/>
      <c r="F27" s="27"/>
    </row>
    <row r="28" spans="1:6" ht="12.75" customHeight="1" x14ac:dyDescent="0.2">
      <c r="A28" s="31" t="s">
        <v>146</v>
      </c>
      <c r="B28" s="39"/>
      <c r="C28" s="33"/>
      <c r="D28" s="33"/>
      <c r="E28" s="33"/>
      <c r="F28" s="33"/>
    </row>
    <row r="29" spans="1:6" x14ac:dyDescent="0.2">
      <c r="A29" s="38"/>
      <c r="B29" s="40"/>
      <c r="C29" s="20"/>
      <c r="D29" s="20"/>
      <c r="E29" s="20"/>
      <c r="F29" s="38"/>
    </row>
    <row r="30" spans="1:6" hidden="1" x14ac:dyDescent="0.2">
      <c r="A30" s="20"/>
      <c r="B30" s="20"/>
      <c r="C30" s="20"/>
      <c r="D30" s="20"/>
      <c r="E30" s="38"/>
    </row>
    <row r="31" spans="1:6" ht="12.75" hidden="1" customHeight="1" x14ac:dyDescent="0.2"/>
    <row r="32" spans="1:6" hidden="1" x14ac:dyDescent="0.2">
      <c r="A32" s="41"/>
      <c r="B32" s="41"/>
      <c r="C32" s="41"/>
      <c r="D32" s="41"/>
      <c r="E32" s="41"/>
      <c r="F32" s="24"/>
    </row>
    <row r="33" spans="1:6" hidden="1" x14ac:dyDescent="0.2">
      <c r="A33" s="41"/>
      <c r="B33" s="41"/>
      <c r="C33" s="41"/>
      <c r="D33" s="41"/>
      <c r="E33" s="41"/>
      <c r="F33" s="24"/>
    </row>
    <row r="34" spans="1:6" hidden="1" x14ac:dyDescent="0.2">
      <c r="A34" s="41"/>
      <c r="B34" s="41"/>
      <c r="C34" s="41"/>
      <c r="D34" s="41"/>
      <c r="E34" s="41"/>
      <c r="F34" s="24"/>
    </row>
    <row r="35" spans="1:6" hidden="1" x14ac:dyDescent="0.2">
      <c r="A35" s="41"/>
      <c r="B35" s="41"/>
      <c r="C35" s="41"/>
      <c r="D35" s="41"/>
      <c r="E35" s="41"/>
      <c r="F35" s="24"/>
    </row>
    <row r="36" spans="1:6" hidden="1" x14ac:dyDescent="0.2">
      <c r="A36" s="41"/>
      <c r="B36" s="41"/>
      <c r="C36" s="41"/>
      <c r="D36" s="41"/>
      <c r="E36" s="41"/>
      <c r="F36" s="24"/>
    </row>
    <row r="37" spans="1:6" x14ac:dyDescent="0.2"/>
    <row r="38" spans="1:6" x14ac:dyDescent="0.2"/>
    <row r="39" spans="1:6" x14ac:dyDescent="0.2"/>
  </sheetData>
  <sheetProtection sheet="1" formatCells="0" insertRows="0" deleteRows="0"/>
  <mergeCells count="10">
    <mergeCell ref="D22:E2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9"/>
  <sheetViews>
    <sheetView zoomScaleNormal="100" workbookViewId="0">
      <selection activeCell="B7" sqref="B7:F7"/>
    </sheetView>
  </sheetViews>
  <sheetFormatPr defaultColWidth="0" defaultRowHeight="12.75" zeroHeight="1" x14ac:dyDescent="0.2"/>
  <cols>
    <col min="1" max="1" width="35.7109375" style="16" customWidth="1"/>
    <col min="2" max="2" width="46.7109375" style="16" customWidth="1"/>
    <col min="3" max="3" width="22.28515625" style="16" customWidth="1"/>
    <col min="4" max="4" width="25.42578125" style="16" customWidth="1"/>
    <col min="5" max="6" width="35.7109375" style="16" customWidth="1"/>
    <col min="7" max="7" width="38" style="16" customWidth="1"/>
    <col min="8" max="10" width="9.28515625" style="16" hidden="1" customWidth="1"/>
    <col min="11" max="15" width="0" style="16" hidden="1" customWidth="1"/>
    <col min="16" max="16384" width="0" style="16" hidden="1"/>
  </cols>
  <sheetData>
    <row r="1" spans="1:6" ht="26.25" customHeight="1" x14ac:dyDescent="0.2">
      <c r="A1" s="203" t="s">
        <v>153</v>
      </c>
      <c r="B1" s="203"/>
      <c r="C1" s="203"/>
      <c r="D1" s="203"/>
      <c r="E1" s="203"/>
      <c r="F1" s="203"/>
    </row>
    <row r="2" spans="1:6" ht="21" customHeight="1" x14ac:dyDescent="0.2">
      <c r="A2" s="4" t="s">
        <v>52</v>
      </c>
      <c r="B2" s="206" t="str">
        <f>'Summary and sign-off'!B2:F2</f>
        <v>Sport NZ (Wgtn) and HPSNZ (Akld)</v>
      </c>
      <c r="C2" s="206"/>
      <c r="D2" s="206"/>
      <c r="E2" s="206"/>
      <c r="F2" s="206"/>
    </row>
    <row r="3" spans="1:6" ht="21" customHeight="1" x14ac:dyDescent="0.2">
      <c r="A3" s="4" t="s">
        <v>110</v>
      </c>
      <c r="B3" s="206" t="str">
        <f>'Summary and sign-off'!B3:F3</f>
        <v>Raelene Castle</v>
      </c>
      <c r="C3" s="206"/>
      <c r="D3" s="206"/>
      <c r="E3" s="206"/>
      <c r="F3" s="206"/>
    </row>
    <row r="4" spans="1:6" ht="21" customHeight="1" x14ac:dyDescent="0.2">
      <c r="A4" s="4" t="s">
        <v>111</v>
      </c>
      <c r="B4" s="206">
        <f>'Summary and sign-off'!B4:F4</f>
        <v>44378</v>
      </c>
      <c r="C4" s="206"/>
      <c r="D4" s="206"/>
      <c r="E4" s="206"/>
      <c r="F4" s="206"/>
    </row>
    <row r="5" spans="1:6" ht="21" customHeight="1" x14ac:dyDescent="0.2">
      <c r="A5" s="4" t="s">
        <v>112</v>
      </c>
      <c r="B5" s="206">
        <f>'Summary and sign-off'!B5:F5</f>
        <v>44742</v>
      </c>
      <c r="C5" s="206"/>
      <c r="D5" s="206"/>
      <c r="E5" s="206"/>
      <c r="F5" s="206"/>
    </row>
    <row r="6" spans="1:6" ht="21" customHeight="1" x14ac:dyDescent="0.2">
      <c r="A6" s="4" t="s">
        <v>154</v>
      </c>
      <c r="B6" s="201" t="s">
        <v>81</v>
      </c>
      <c r="C6" s="201"/>
      <c r="D6" s="201"/>
      <c r="E6" s="201"/>
      <c r="F6" s="201"/>
    </row>
    <row r="7" spans="1:6" ht="21" customHeight="1" x14ac:dyDescent="0.2">
      <c r="A7" s="4" t="s">
        <v>56</v>
      </c>
      <c r="B7" s="201" t="s">
        <v>83</v>
      </c>
      <c r="C7" s="201"/>
      <c r="D7" s="201"/>
      <c r="E7" s="201"/>
      <c r="F7" s="201"/>
    </row>
    <row r="8" spans="1:6" ht="36" customHeight="1" x14ac:dyDescent="0.2">
      <c r="A8" s="210" t="s">
        <v>155</v>
      </c>
      <c r="B8" s="210"/>
      <c r="C8" s="210"/>
      <c r="D8" s="210"/>
      <c r="E8" s="210"/>
      <c r="F8" s="210"/>
    </row>
    <row r="9" spans="1:6" ht="36" customHeight="1" x14ac:dyDescent="0.2">
      <c r="A9" s="218" t="s">
        <v>156</v>
      </c>
      <c r="B9" s="219"/>
      <c r="C9" s="219"/>
      <c r="D9" s="219"/>
      <c r="E9" s="219"/>
      <c r="F9" s="219"/>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57">
        <v>44415</v>
      </c>
      <c r="B12" s="162" t="s">
        <v>194</v>
      </c>
      <c r="C12" s="165" t="s">
        <v>96</v>
      </c>
      <c r="D12" s="162" t="s">
        <v>195</v>
      </c>
      <c r="E12" s="166" t="s">
        <v>92</v>
      </c>
      <c r="F12" s="163"/>
    </row>
    <row r="13" spans="1:6" s="87" customFormat="1" x14ac:dyDescent="0.2">
      <c r="A13" s="157">
        <v>44415</v>
      </c>
      <c r="B13" s="162" t="s">
        <v>198</v>
      </c>
      <c r="C13" s="165" t="s">
        <v>97</v>
      </c>
      <c r="D13" s="162" t="s">
        <v>199</v>
      </c>
      <c r="E13" s="166" t="s">
        <v>91</v>
      </c>
      <c r="F13" s="163"/>
    </row>
    <row r="14" spans="1:6" s="87" customFormat="1" x14ac:dyDescent="0.2">
      <c r="A14" s="157">
        <v>44422</v>
      </c>
      <c r="B14" s="162" t="s">
        <v>211</v>
      </c>
      <c r="C14" s="165" t="s">
        <v>97</v>
      </c>
      <c r="D14" s="162" t="s">
        <v>197</v>
      </c>
      <c r="E14" s="166" t="s">
        <v>92</v>
      </c>
      <c r="F14" s="163"/>
    </row>
    <row r="15" spans="1:6" s="87" customFormat="1" x14ac:dyDescent="0.2">
      <c r="A15" s="157">
        <v>44422</v>
      </c>
      <c r="B15" s="162" t="s">
        <v>210</v>
      </c>
      <c r="C15" s="165" t="s">
        <v>97</v>
      </c>
      <c r="D15" s="162" t="s">
        <v>195</v>
      </c>
      <c r="E15" s="166" t="s">
        <v>92</v>
      </c>
      <c r="F15" s="163"/>
    </row>
    <row r="16" spans="1:6" s="87" customFormat="1" ht="25.5" x14ac:dyDescent="0.2">
      <c r="A16" s="195">
        <v>44450</v>
      </c>
      <c r="B16" s="196" t="s">
        <v>196</v>
      </c>
      <c r="C16" s="197" t="s">
        <v>96</v>
      </c>
      <c r="D16" s="196" t="s">
        <v>197</v>
      </c>
      <c r="E16" s="198" t="s">
        <v>92</v>
      </c>
      <c r="F16" s="163" t="s">
        <v>208</v>
      </c>
    </row>
    <row r="17" spans="1:6" s="87" customFormat="1" x14ac:dyDescent="0.2">
      <c r="A17" s="157">
        <v>44403</v>
      </c>
      <c r="B17" s="162" t="s">
        <v>200</v>
      </c>
      <c r="C17" s="165" t="s">
        <v>96</v>
      </c>
      <c r="D17" s="162" t="s">
        <v>201</v>
      </c>
      <c r="E17" s="166" t="s">
        <v>91</v>
      </c>
      <c r="F17" s="163"/>
    </row>
    <row r="18" spans="1:6" s="87" customFormat="1" ht="25.5" x14ac:dyDescent="0.2">
      <c r="A18" s="195">
        <v>44433</v>
      </c>
      <c r="B18" s="196" t="s">
        <v>207</v>
      </c>
      <c r="C18" s="197" t="s">
        <v>96</v>
      </c>
      <c r="D18" s="196" t="s">
        <v>206</v>
      </c>
      <c r="E18" s="198" t="s">
        <v>91</v>
      </c>
      <c r="F18" s="163" t="s">
        <v>231</v>
      </c>
    </row>
    <row r="19" spans="1:6" s="87" customFormat="1" x14ac:dyDescent="0.2">
      <c r="A19" s="199" t="s">
        <v>219</v>
      </c>
      <c r="B19" s="162" t="s">
        <v>221</v>
      </c>
      <c r="C19" s="165" t="s">
        <v>97</v>
      </c>
      <c r="D19" s="162" t="s">
        <v>220</v>
      </c>
      <c r="E19" s="166" t="s">
        <v>92</v>
      </c>
      <c r="F19" s="163"/>
    </row>
    <row r="20" spans="1:6" s="87" customFormat="1" x14ac:dyDescent="0.2">
      <c r="A20" s="157">
        <v>44624</v>
      </c>
      <c r="B20" s="162" t="s">
        <v>264</v>
      </c>
      <c r="C20" s="165" t="s">
        <v>96</v>
      </c>
      <c r="D20" s="162" t="s">
        <v>266</v>
      </c>
      <c r="E20" s="166" t="s">
        <v>92</v>
      </c>
      <c r="F20" s="163"/>
    </row>
    <row r="21" spans="1:6" s="87" customFormat="1" x14ac:dyDescent="0.2">
      <c r="A21" s="157">
        <v>44625</v>
      </c>
      <c r="B21" s="162" t="s">
        <v>265</v>
      </c>
      <c r="C21" s="165" t="s">
        <v>96</v>
      </c>
      <c r="D21" s="162" t="s">
        <v>266</v>
      </c>
      <c r="E21" s="166" t="s">
        <v>92</v>
      </c>
      <c r="F21" s="163"/>
    </row>
    <row r="22" spans="1:6" s="87" customFormat="1" x14ac:dyDescent="0.2">
      <c r="A22" s="157">
        <v>44621</v>
      </c>
      <c r="B22" s="162" t="s">
        <v>305</v>
      </c>
      <c r="C22" s="165" t="s">
        <v>96</v>
      </c>
      <c r="D22" s="162" t="s">
        <v>195</v>
      </c>
      <c r="E22" s="166" t="s">
        <v>91</v>
      </c>
      <c r="F22" s="163"/>
    </row>
    <row r="23" spans="1:6" s="87" customFormat="1" x14ac:dyDescent="0.2">
      <c r="A23" s="157">
        <v>44634</v>
      </c>
      <c r="B23" s="162" t="s">
        <v>305</v>
      </c>
      <c r="C23" s="165" t="s">
        <v>96</v>
      </c>
      <c r="D23" s="162" t="s">
        <v>306</v>
      </c>
      <c r="E23" s="166" t="s">
        <v>91</v>
      </c>
      <c r="F23" s="163"/>
    </row>
    <row r="24" spans="1:6" s="87" customFormat="1" x14ac:dyDescent="0.2">
      <c r="A24" s="157">
        <v>44634</v>
      </c>
      <c r="B24" s="162" t="s">
        <v>312</v>
      </c>
      <c r="C24" s="165" t="s">
        <v>96</v>
      </c>
      <c r="D24" s="162" t="s">
        <v>313</v>
      </c>
      <c r="E24" s="166" t="s">
        <v>90</v>
      </c>
      <c r="F24" s="163"/>
    </row>
    <row r="25" spans="1:6" s="87" customFormat="1" x14ac:dyDescent="0.2">
      <c r="A25" s="157">
        <v>44641</v>
      </c>
      <c r="B25" s="162" t="s">
        <v>340</v>
      </c>
      <c r="C25" s="165" t="s">
        <v>97</v>
      </c>
      <c r="D25" s="162" t="s">
        <v>307</v>
      </c>
      <c r="E25" s="166" t="s">
        <v>91</v>
      </c>
      <c r="F25" s="163"/>
    </row>
    <row r="26" spans="1:6" s="87" customFormat="1" ht="25.5" x14ac:dyDescent="0.2">
      <c r="A26" s="157">
        <v>44649</v>
      </c>
      <c r="B26" s="162" t="s">
        <v>314</v>
      </c>
      <c r="C26" s="165" t="s">
        <v>96</v>
      </c>
      <c r="D26" s="162" t="s">
        <v>266</v>
      </c>
      <c r="E26" s="166" t="s">
        <v>90</v>
      </c>
      <c r="F26" s="163"/>
    </row>
    <row r="27" spans="1:6" s="87" customFormat="1" x14ac:dyDescent="0.2">
      <c r="A27" s="195">
        <v>44650</v>
      </c>
      <c r="B27" s="196" t="s">
        <v>299</v>
      </c>
      <c r="C27" s="197" t="s">
        <v>96</v>
      </c>
      <c r="D27" s="196" t="s">
        <v>266</v>
      </c>
      <c r="E27" s="198" t="s">
        <v>92</v>
      </c>
      <c r="F27" s="163" t="s">
        <v>424</v>
      </c>
    </row>
    <row r="28" spans="1:6" s="87" customFormat="1" x14ac:dyDescent="0.2">
      <c r="A28" s="157">
        <v>44654</v>
      </c>
      <c r="B28" s="162" t="s">
        <v>300</v>
      </c>
      <c r="C28" s="165" t="s">
        <v>96</v>
      </c>
      <c r="D28" s="162" t="s">
        <v>266</v>
      </c>
      <c r="E28" s="166" t="s">
        <v>92</v>
      </c>
      <c r="F28" s="163"/>
    </row>
    <row r="29" spans="1:6" s="87" customFormat="1" x14ac:dyDescent="0.2">
      <c r="A29" s="157">
        <v>44668</v>
      </c>
      <c r="B29" s="162" t="s">
        <v>315</v>
      </c>
      <c r="C29" s="165" t="s">
        <v>97</v>
      </c>
      <c r="D29" s="162" t="s">
        <v>316</v>
      </c>
      <c r="E29" s="166" t="s">
        <v>91</v>
      </c>
      <c r="F29" s="163"/>
    </row>
    <row r="30" spans="1:6" s="87" customFormat="1" x14ac:dyDescent="0.2">
      <c r="A30" s="157">
        <v>44687</v>
      </c>
      <c r="B30" s="164" t="s">
        <v>342</v>
      </c>
      <c r="C30" s="165" t="s">
        <v>97</v>
      </c>
      <c r="D30" s="164" t="s">
        <v>197</v>
      </c>
      <c r="E30" s="166" t="s">
        <v>91</v>
      </c>
      <c r="F30" s="167"/>
    </row>
    <row r="31" spans="1:6" s="87" customFormat="1" x14ac:dyDescent="0.2">
      <c r="A31" s="157">
        <v>44687</v>
      </c>
      <c r="B31" s="164" t="s">
        <v>370</v>
      </c>
      <c r="C31" s="165" t="s">
        <v>96</v>
      </c>
      <c r="D31" s="164" t="s">
        <v>407</v>
      </c>
      <c r="E31" s="166" t="s">
        <v>91</v>
      </c>
      <c r="F31" s="167"/>
    </row>
    <row r="32" spans="1:6" s="87" customFormat="1" x14ac:dyDescent="0.2">
      <c r="A32" s="157">
        <v>44688</v>
      </c>
      <c r="B32" s="162" t="s">
        <v>341</v>
      </c>
      <c r="C32" s="165" t="s">
        <v>97</v>
      </c>
      <c r="D32" s="162" t="s">
        <v>339</v>
      </c>
      <c r="E32" s="166" t="s">
        <v>91</v>
      </c>
      <c r="F32" s="163"/>
    </row>
    <row r="33" spans="1:7" s="87" customFormat="1" x14ac:dyDescent="0.2">
      <c r="A33" s="157">
        <v>44695</v>
      </c>
      <c r="B33" s="164" t="s">
        <v>343</v>
      </c>
      <c r="C33" s="165" t="s">
        <v>96</v>
      </c>
      <c r="D33" s="164" t="s">
        <v>307</v>
      </c>
      <c r="E33" s="166" t="s">
        <v>91</v>
      </c>
      <c r="F33" s="167"/>
    </row>
    <row r="34" spans="1:7" s="87" customFormat="1" x14ac:dyDescent="0.2">
      <c r="A34" s="157">
        <v>44695</v>
      </c>
      <c r="B34" s="164" t="s">
        <v>372</v>
      </c>
      <c r="C34" s="165" t="s">
        <v>96</v>
      </c>
      <c r="D34" s="164" t="s">
        <v>344</v>
      </c>
      <c r="E34" s="166" t="s">
        <v>91</v>
      </c>
      <c r="F34" s="167"/>
    </row>
    <row r="35" spans="1:7" s="87" customFormat="1" x14ac:dyDescent="0.2">
      <c r="A35" s="157">
        <v>44698</v>
      </c>
      <c r="B35" s="164" t="s">
        <v>371</v>
      </c>
      <c r="C35" s="165" t="s">
        <v>96</v>
      </c>
      <c r="D35" s="164" t="s">
        <v>313</v>
      </c>
      <c r="E35" s="166" t="s">
        <v>91</v>
      </c>
      <c r="F35" s="167"/>
    </row>
    <row r="36" spans="1:7" s="87" customFormat="1" x14ac:dyDescent="0.2">
      <c r="A36" s="157">
        <v>44709</v>
      </c>
      <c r="B36" s="164" t="s">
        <v>379</v>
      </c>
      <c r="C36" s="165" t="s">
        <v>97</v>
      </c>
      <c r="D36" s="164" t="s">
        <v>339</v>
      </c>
      <c r="E36" s="166" t="s">
        <v>91</v>
      </c>
      <c r="F36" s="167"/>
    </row>
    <row r="37" spans="1:7" s="87" customFormat="1" x14ac:dyDescent="0.2">
      <c r="A37" s="157">
        <v>44723</v>
      </c>
      <c r="B37" s="164" t="s">
        <v>392</v>
      </c>
      <c r="C37" s="165" t="s">
        <v>96</v>
      </c>
      <c r="D37" s="164" t="s">
        <v>307</v>
      </c>
      <c r="E37" s="166" t="s">
        <v>92</v>
      </c>
      <c r="F37" s="167"/>
    </row>
    <row r="38" spans="1:7" s="87" customFormat="1" x14ac:dyDescent="0.2">
      <c r="A38" s="157">
        <v>44724</v>
      </c>
      <c r="B38" s="164" t="s">
        <v>393</v>
      </c>
      <c r="C38" s="165" t="s">
        <v>96</v>
      </c>
      <c r="D38" s="164" t="s">
        <v>195</v>
      </c>
      <c r="E38" s="166" t="s">
        <v>91</v>
      </c>
      <c r="F38" s="167"/>
    </row>
    <row r="39" spans="1:7" s="87" customFormat="1" x14ac:dyDescent="0.2">
      <c r="A39" s="157">
        <v>44730</v>
      </c>
      <c r="B39" s="164" t="s">
        <v>400</v>
      </c>
      <c r="C39" s="165" t="s">
        <v>97</v>
      </c>
      <c r="D39" s="164" t="s">
        <v>307</v>
      </c>
      <c r="E39" s="166" t="s">
        <v>92</v>
      </c>
      <c r="F39" s="167"/>
    </row>
    <row r="40" spans="1:7" s="87" customFormat="1" x14ac:dyDescent="0.2">
      <c r="A40" s="157">
        <v>44742</v>
      </c>
      <c r="B40" s="164" t="s">
        <v>394</v>
      </c>
      <c r="C40" s="165" t="s">
        <v>97</v>
      </c>
      <c r="D40" s="164" t="s">
        <v>395</v>
      </c>
      <c r="E40" s="166" t="s">
        <v>91</v>
      </c>
      <c r="F40" s="167"/>
    </row>
    <row r="41" spans="1:7" s="87" customFormat="1" x14ac:dyDescent="0.2">
      <c r="A41" s="157"/>
      <c r="B41" s="164"/>
      <c r="C41" s="165"/>
      <c r="D41" s="164"/>
      <c r="E41" s="166"/>
      <c r="F41" s="167"/>
    </row>
    <row r="42" spans="1:7" s="87" customFormat="1" hidden="1" x14ac:dyDescent="0.2">
      <c r="A42" s="133"/>
      <c r="B42" s="138"/>
      <c r="C42" s="140"/>
      <c r="D42" s="138"/>
      <c r="E42" s="141"/>
      <c r="F42" s="139"/>
    </row>
    <row r="43" spans="1:7" ht="34.5" customHeight="1" x14ac:dyDescent="0.2">
      <c r="A43" s="152" t="s">
        <v>162</v>
      </c>
      <c r="B43" s="153" t="s">
        <v>163</v>
      </c>
      <c r="C43" s="154">
        <f>C44+C45</f>
        <v>29</v>
      </c>
      <c r="D43" s="155" t="str">
        <f>IF(SUBTOTAL(3,C11:C42)=SUBTOTAL(103,C11:C42),'Summary and sign-off'!$A$48,'Summary and sign-off'!$A$49)</f>
        <v>Check - there are no hidden rows with data</v>
      </c>
      <c r="E43" s="207" t="str">
        <f>IF('Summary and sign-off'!F60='Summary and sign-off'!F54,'Summary and sign-off'!A52,'Summary and sign-off'!A50)</f>
        <v>Check - each entry provides sufficient information</v>
      </c>
      <c r="F43" s="207"/>
      <c r="G43" s="87"/>
    </row>
    <row r="44" spans="1:7" ht="25.5" customHeight="1" x14ac:dyDescent="0.25">
      <c r="A44" s="89"/>
      <c r="B44" s="90" t="s">
        <v>96</v>
      </c>
      <c r="C44" s="91">
        <f>COUNTIF(C11:C42,'Summary and sign-off'!A45)</f>
        <v>18</v>
      </c>
      <c r="D44" s="17"/>
      <c r="E44" s="18"/>
      <c r="F44" s="19"/>
    </row>
    <row r="45" spans="1:7" ht="25.5" customHeight="1" x14ac:dyDescent="0.25">
      <c r="A45" s="89"/>
      <c r="B45" s="90" t="s">
        <v>97</v>
      </c>
      <c r="C45" s="91">
        <f>COUNTIF(C11:C42,'Summary and sign-off'!A46)</f>
        <v>11</v>
      </c>
      <c r="D45" s="17"/>
      <c r="E45" s="18"/>
      <c r="F45" s="19"/>
    </row>
    <row r="46" spans="1:7" x14ac:dyDescent="0.2">
      <c r="A46" s="20"/>
      <c r="B46" s="21"/>
      <c r="C46" s="20"/>
      <c r="D46" s="22"/>
      <c r="E46" s="22"/>
      <c r="F46" s="20"/>
    </row>
    <row r="47" spans="1:7" x14ac:dyDescent="0.2">
      <c r="A47" s="21" t="s">
        <v>152</v>
      </c>
      <c r="B47" s="21"/>
      <c r="C47" s="21"/>
      <c r="D47" s="21"/>
      <c r="E47" s="21"/>
      <c r="F47" s="21"/>
    </row>
    <row r="48" spans="1:7" ht="12.75" customHeight="1" x14ac:dyDescent="0.2">
      <c r="A48" s="23" t="s">
        <v>131</v>
      </c>
      <c r="B48" s="20"/>
      <c r="C48" s="20"/>
      <c r="D48" s="20"/>
      <c r="E48" s="20"/>
      <c r="F48" s="24"/>
    </row>
    <row r="49" spans="1:6" x14ac:dyDescent="0.2">
      <c r="A49" s="23" t="s">
        <v>79</v>
      </c>
      <c r="B49" s="25"/>
      <c r="C49" s="26"/>
      <c r="D49" s="26"/>
      <c r="E49" s="26"/>
      <c r="F49" s="27"/>
    </row>
    <row r="50" spans="1:6" x14ac:dyDescent="0.2">
      <c r="A50" s="23" t="s">
        <v>164</v>
      </c>
      <c r="B50" s="28"/>
      <c r="C50" s="28"/>
      <c r="D50" s="28"/>
      <c r="E50" s="28"/>
      <c r="F50" s="28"/>
    </row>
    <row r="51" spans="1:6" ht="12.75" customHeight="1" x14ac:dyDescent="0.2">
      <c r="A51" s="23" t="s">
        <v>165</v>
      </c>
      <c r="B51" s="20"/>
      <c r="C51" s="20"/>
      <c r="D51" s="20"/>
      <c r="E51" s="20"/>
      <c r="F51" s="20"/>
    </row>
    <row r="52" spans="1:6" ht="13.15" customHeight="1" x14ac:dyDescent="0.2">
      <c r="A52" s="29" t="s">
        <v>166</v>
      </c>
      <c r="B52" s="30"/>
      <c r="C52" s="30"/>
      <c r="D52" s="30"/>
      <c r="E52" s="30"/>
      <c r="F52" s="30"/>
    </row>
    <row r="53" spans="1:6" x14ac:dyDescent="0.2">
      <c r="A53" s="31" t="s">
        <v>167</v>
      </c>
      <c r="B53" s="32"/>
      <c r="C53" s="27"/>
      <c r="D53" s="27"/>
      <c r="E53" s="27"/>
      <c r="F53" s="27"/>
    </row>
    <row r="54" spans="1:6" ht="12.75" customHeight="1" x14ac:dyDescent="0.2">
      <c r="A54" s="31" t="s">
        <v>146</v>
      </c>
      <c r="B54" s="23"/>
      <c r="C54" s="33"/>
      <c r="D54" s="33"/>
      <c r="E54" s="33"/>
      <c r="F54" s="33"/>
    </row>
    <row r="55" spans="1:6" ht="12.75" customHeight="1" x14ac:dyDescent="0.2">
      <c r="A55" s="23"/>
      <c r="B55" s="23"/>
      <c r="C55" s="33"/>
      <c r="D55" s="33"/>
      <c r="E55" s="33"/>
      <c r="F55" s="33"/>
    </row>
    <row r="56" spans="1:6" ht="12.75" hidden="1" customHeight="1" x14ac:dyDescent="0.2">
      <c r="A56" s="23"/>
      <c r="B56" s="23"/>
      <c r="C56" s="33"/>
      <c r="D56" s="33"/>
      <c r="E56" s="33"/>
      <c r="F56" s="33"/>
    </row>
    <row r="59" spans="1:6" hidden="1" x14ac:dyDescent="0.2">
      <c r="A59" s="21"/>
      <c r="B59" s="21"/>
      <c r="C59" s="21"/>
      <c r="D59" s="21"/>
      <c r="E59" s="21"/>
      <c r="F59" s="21"/>
    </row>
    <row r="60" spans="1:6" hidden="1" x14ac:dyDescent="0.2">
      <c r="A60" s="21"/>
      <c r="B60" s="21"/>
      <c r="C60" s="21"/>
      <c r="D60" s="21"/>
      <c r="E60" s="21"/>
      <c r="F60" s="21"/>
    </row>
    <row r="61" spans="1:6" hidden="1" x14ac:dyDescent="0.2">
      <c r="A61" s="21"/>
      <c r="B61" s="21"/>
      <c r="C61" s="21"/>
      <c r="D61" s="21"/>
      <c r="E61" s="21"/>
      <c r="F61" s="21"/>
    </row>
    <row r="62" spans="1:6" hidden="1" x14ac:dyDescent="0.2">
      <c r="A62" s="21"/>
      <c r="B62" s="21"/>
      <c r="C62" s="21"/>
      <c r="D62" s="21"/>
      <c r="E62" s="21"/>
      <c r="F62" s="21"/>
    </row>
    <row r="63" spans="1:6" hidden="1" x14ac:dyDescent="0.2">
      <c r="A63" s="21"/>
      <c r="B63" s="21"/>
      <c r="C63" s="21"/>
      <c r="D63" s="21"/>
      <c r="E63" s="21"/>
      <c r="F63" s="21"/>
    </row>
    <row r="64" spans="1:6" x14ac:dyDescent="0.2"/>
    <row r="65" x14ac:dyDescent="0.2"/>
    <row r="66" x14ac:dyDescent="0.2"/>
    <row r="67" x14ac:dyDescent="0.2"/>
    <row r="68" x14ac:dyDescent="0.2"/>
    <row r="69" x14ac:dyDescent="0.2"/>
  </sheetData>
  <sheetProtection sheet="1" formatCells="0" insertRows="0" deleteRows="0"/>
  <dataConsolidate/>
  <mergeCells count="10">
    <mergeCell ref="E43:F43"/>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2 A17:A32 A11:A16"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0:A31 A33 A34 A35 A36 A37 A38:A39 A40 A41"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C11:C42</xm:sqref>
        </x14:dataValidation>
        <x14:dataValidation type="list" errorStyle="information" operator="greaterThan" allowBlank="1" showInputMessage="1" prompt="Provide specific $ value if possible" xr:uid="{00000000-0002-0000-0500-000003000000}">
          <x14:formula1>
            <xm:f>'Summary and sign-off'!$A$39:$A$44</xm:f>
          </x14:formula1>
          <xm:sqref>E11:E42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activity xmlns="4f9c820c-e7e2-444d-97ee-45f2b3485c1d">Team Manager</Subactivity>
    <PRADateDisposal xmlns="4f9c820c-e7e2-444d-97ee-45f2b3485c1d" xsi:nil="true"/>
    <BusinessValue xmlns="4f9c820c-e7e2-444d-97ee-45f2b3485c1d" xsi:nil="true"/>
    <zLegacy xmlns="acb26242-dc21-4420-965a-f5c1d8109808" xsi:nil="true"/>
    <KeyWords xmlns="15ffb055-6eb4-45a1-bc20-bf2ac0d420da" xsi:nil="true"/>
    <SecurityClassification xmlns="15ffb055-6eb4-45a1-bc20-bf2ac0d420da" xsi:nil="true"/>
    <PartnerType xmlns="acb26242-dc21-4420-965a-f5c1d8109808" xsi:nil="true"/>
    <PRADate3 xmlns="4f9c820c-e7e2-444d-97ee-45f2b3485c1d" xsi:nil="true"/>
    <PRAText5 xmlns="4f9c820c-e7e2-444d-97ee-45f2b3485c1d" xsi:nil="true"/>
    <Level2 xmlns="c91a514c-9034-4fa3-897a-8352025b26ed">NA</Level2>
    <Activity xmlns="4f9c820c-e7e2-444d-97ee-45f2b3485c1d">Chief Executive</Activity>
    <AggregationStatus xmlns="4f9c820c-e7e2-444d-97ee-45f2b3485c1d">Normal</AggregationStatus>
    <CategoryValue xmlns="4f9c820c-e7e2-444d-97ee-45f2b3485c1d">NA</CategoryValue>
    <PRADate2 xmlns="4f9c820c-e7e2-444d-97ee-45f2b3485c1d" xsi:nil="true"/>
    <Case xmlns="4f9c820c-e7e2-444d-97ee-45f2b3485c1d">Chief Executive Team</Case>
    <PRAText1 xmlns="4f9c820c-e7e2-444d-97ee-45f2b3485c1d" xsi:nil="true"/>
    <PRAText4 xmlns="4f9c820c-e7e2-444d-97ee-45f2b3485c1d" xsi:nil="true"/>
    <Level3 xmlns="c91a514c-9034-4fa3-897a-8352025b26ed" xsi:nil="true"/>
    <Team xmlns="c91a514c-9034-4fa3-897a-8352025b26ed">Chief Executive Team</Team>
    <zMigrationID xmlns="acb26242-dc21-4420-965a-f5c1d8109808" xsi:nil="true"/>
    <Project xmlns="4f9c820c-e7e2-444d-97ee-45f2b3485c1d">NA</Project>
    <RecordID xmlns="acb26242-dc21-4420-965a-f5c1d8109808" xsi:nil="true"/>
    <zLegacyJSON xmlns="acb26242-dc21-4420-965a-f5c1d8109808" xsi:nil="true"/>
    <FunctionGroup xmlns="4f9c820c-e7e2-444d-97ee-45f2b3485c1d">Sport New Zealand</FunctionGroup>
    <Function xmlns="4f9c820c-e7e2-444d-97ee-45f2b3485c1d">Governance</Function>
    <Channel xmlns="c91a514c-9034-4fa3-897a-8352025b26ed">NA</Channel>
    <RelatedPeople xmlns="4f9c820c-e7e2-444d-97ee-45f2b3485c1d">
      <UserInfo>
        <DisplayName/>
        <AccountId xsi:nil="true"/>
        <AccountType/>
      </UserInfo>
    </RelatedPeople>
    <AggregationNarrative xmlns="725c79e5-42ce-4aa0-ac78-b6418001f0d2" xsi:nil="true"/>
    <PRAType xmlns="4f9c820c-e7e2-444d-97ee-45f2b3485c1d">Doc</PRAType>
    <PRADate1 xmlns="4f9c820c-e7e2-444d-97ee-45f2b3485c1d" xsi:nil="true"/>
    <DocumentType xmlns="4f9c820c-e7e2-444d-97ee-45f2b3485c1d" xsi:nil="true"/>
    <FinancialYear xmlns="acb26242-dc21-4420-965a-f5c1d8109808">2021-2022</FinancialYear>
    <PRAText3 xmlns="4f9c820c-e7e2-444d-97ee-45f2b3485c1d" xsi:nil="true"/>
    <Year xmlns="c91a514c-9034-4fa3-897a-8352025b26ed">2022</Year>
    <Narrative xmlns="4f9c820c-e7e2-444d-97ee-45f2b3485c1d" xsi:nil="true"/>
    <CategoryName xmlns="4f9c820c-e7e2-444d-97ee-45f2b3485c1d">NA</CategoryName>
    <PRADateTrigger xmlns="4f9c820c-e7e2-444d-97ee-45f2b3485c1d" xsi:nil="true"/>
    <PRAText2 xmlns="4f9c820c-e7e2-444d-97ee-45f2b3485c1d" xsi:nil="true"/>
    <ILDate xmlns="c348242c-295e-439d-86fb-91cef3830f07" xsi:nil="true"/>
    <fbbc46e6080f4043b8eb3439e6385fb0 xmlns="c348242c-295e-439d-86fb-91cef3830f07">
      <Terms xmlns="http://schemas.microsoft.com/office/infopath/2007/PartnerControls"/>
    </fbbc46e6080f4043b8eb3439e6385fb0>
    <ReadOnlyStatus xmlns="c348242c-295e-439d-86fb-91cef3830f07">Open</ReadOnlyStatus>
    <e3343728b5c74b3d8fb6c70eb949629a xmlns="c348242c-295e-439d-86fb-91cef3830f07">
      <Terms xmlns="http://schemas.microsoft.com/office/infopath/2007/PartnerControls"/>
    </e3343728b5c74b3d8fb6c70eb949629a>
    <TaxCatchAll xmlns="6943b6e5-4c56-4f73-be4f-7e4f9206c6c4" xsi:nil="true"/>
    <TargetAudience xmlns="c348242c-295e-439d-86fb-91cef3830f07">Internal</TargetAudience>
    <g8fd85cd35464210baa823c6298a2c0b xmlns="c348242c-295e-439d-86fb-91cef3830f07">
      <Terms xmlns="http://schemas.microsoft.com/office/infopath/2007/PartnerControls"/>
    </g8fd85cd35464210baa823c6298a2c0b>
    <RDClass xmlns="c348242c-295e-439d-86fb-91cef3830f07">DEFAULT</RDClass>
    <SharedWithUsers xmlns="6943b6e5-4c56-4f73-be4f-7e4f9206c6c4">
      <UserInfo>
        <DisplayName>Ken Smart</DisplayName>
        <AccountId>87</AccountId>
        <AccountType/>
      </UserInfo>
      <UserInfo>
        <DisplayName>Nehalkumar patel</DisplayName>
        <AccountId>157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1E94C3B72383DE4DAA17349E0BBF25260032CFC75FAC070146B08F933B6963AEAD" ma:contentTypeVersion="91" ma:contentTypeDescription="Create a new document." ma:contentTypeScope="" ma:versionID="a2eb2e8bcec5ffab21f300d02aec6b7f">
  <xsd:schema xmlns:xsd="http://www.w3.org/2001/XMLSchema" xmlns:xs="http://www.w3.org/2001/XMLSchema" xmlns:p="http://schemas.microsoft.com/office/2006/metadata/properties" xmlns:ns2="c348242c-295e-439d-86fb-91cef3830f07" xmlns:ns3="6943b6e5-4c56-4f73-be4f-7e4f9206c6c4" xmlns:ns4="4f9c820c-e7e2-444d-97ee-45f2b3485c1d" xmlns:ns5="acb26242-dc21-4420-965a-f5c1d8109808" xmlns:ns6="c91a514c-9034-4fa3-897a-8352025b26ed" xmlns:ns7="15ffb055-6eb4-45a1-bc20-bf2ac0d420da" xmlns:ns8="725c79e5-42ce-4aa0-ac78-b6418001f0d2" targetNamespace="http://schemas.microsoft.com/office/2006/metadata/properties" ma:root="true" ma:fieldsID="a0e1173ed98a876136479978228fd206" ns2:_="" ns3:_="" ns4:_="" ns5:_="" ns6:_="" ns7:_="" ns8:_="">
    <xsd:import namespace="c348242c-295e-439d-86fb-91cef3830f07"/>
    <xsd:import namespace="6943b6e5-4c56-4f73-be4f-7e4f9206c6c4"/>
    <xsd:import namespace="4f9c820c-e7e2-444d-97ee-45f2b3485c1d"/>
    <xsd:import namespace="acb26242-dc21-4420-965a-f5c1d8109808"/>
    <xsd:import namespace="c91a514c-9034-4fa3-897a-8352025b26ed"/>
    <xsd:import namespace="15ffb055-6eb4-45a1-bc20-bf2ac0d420da"/>
    <xsd:import namespace="725c79e5-42ce-4aa0-ac78-b6418001f0d2"/>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4:Subactivity" minOccurs="0"/>
                <xsd:element ref="ns4:Case" minOccurs="0"/>
                <xsd:element ref="ns4:CategoryName" minOccurs="0"/>
                <xsd:element ref="ns4:CategoryValue"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7:SecurityClassification" minOccurs="0"/>
                <xsd:element ref="ns6:Level2" minOccurs="0"/>
                <xsd:element ref="ns6:Level3" minOccurs="0"/>
                <xsd:element ref="ns5:RecordID" minOccurs="0"/>
                <xsd:element ref="ns5:PartnerType" minOccurs="0"/>
                <xsd:element ref="ns4:BusinessValue" minOccurs="0"/>
                <xsd:element ref="ns5:zMigrationID" minOccurs="0"/>
                <xsd:element ref="ns5:zLegacy" minOccurs="0"/>
                <xsd:element ref="ns5:zLegacyJSON" minOccurs="0"/>
                <xsd:element ref="ns2:ILDate" minOccurs="0"/>
                <xsd:element ref="ns2:RDClass"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8242c-295e-439d-86fb-91cef3830f07"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ILDate" ma:index="53" nillable="true" ma:displayName="Date" ma:format="DateTime" ma:hidden="true" ma:internalName="ILDate" ma:readOnly="false">
      <xsd:simpleType>
        <xsd:restriction base="dms:DateTime"/>
      </xsd:simpleType>
    </xsd:element>
    <xsd:element name="RDClass" ma:index="54" nillable="true" ma:displayName="Policy" ma:default="DEFAULT" ma:format="Dropdown" ma:hidden="true" ma:internalName="RDClass" ma:readOnly="false">
      <xsd:simpleType>
        <xsd:restriction base="dms:Choice">
          <xsd:enumeration value="DEFAULT"/>
          <xsd:enumeration value="TESTCLASS"/>
          <xsd:enumeration value="Changing from People Mangement to Policies and Procedures"/>
          <xsd:enumeration value="Events Management"/>
          <xsd:enumeration value="Activity Management"/>
          <xsd:enumeration value="Strategic Support"/>
          <xsd:enumeration value="World Cups Office Administration activity"/>
          <xsd:enumeration value="SportNZ - Business Improvement"/>
          <xsd:enumeration value="Active Events"/>
        </xsd:restriction>
      </xsd:simpleType>
    </xsd:element>
    <xsd:element name="ReadOnlyStatus" ma:index="55"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6"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MediaServiceMetadata" ma:index="57" nillable="true" ma:displayName="MediaServiceMetadata" ma:hidden="true" ma:internalName="MediaServiceMetadata" ma:readOnly="true">
      <xsd:simpleType>
        <xsd:restriction base="dms:Note"/>
      </xsd:simpleType>
    </xsd:element>
    <xsd:element name="MediaServiceFastMetadata" ma:index="58" nillable="true" ma:displayName="MediaServiceFastMetadata" ma:hidden="true" ma:internalName="MediaServiceFastMetadata" ma:readOnly="true">
      <xsd:simpleType>
        <xsd:restriction base="dms:Note"/>
      </xsd:simpleType>
    </xsd:element>
    <xsd:element name="MediaServiceAutoKeyPoints" ma:index="59" nillable="true" ma:displayName="MediaServiceAutoKeyPoints" ma:hidden="true" ma:internalName="MediaServiceAutoKeyPoints" ma:readOnly="true">
      <xsd:simpleType>
        <xsd:restriction base="dms:Note"/>
      </xsd:simpleType>
    </xsd:element>
    <xsd:element name="MediaServiceKeyPoints" ma:index="60" nillable="true" ma:displayName="KeyPoints" ma:internalName="MediaServiceKeyPoints" ma:readOnly="true">
      <xsd:simpleType>
        <xsd:restriction base="dms:Note">
          <xsd:maxLength value="255"/>
        </xsd:restriction>
      </xsd:simpleType>
    </xsd:element>
    <xsd:element name="MediaServiceDateTaken" ma:index="61" nillable="true" ma:displayName="MediaServiceDateTaken" ma:hidden="true" ma:internalName="MediaServiceDateTaken" ma:readOnly="true">
      <xsd:simpleType>
        <xsd:restriction base="dms:Text"/>
      </xsd:simpleType>
    </xsd:element>
    <xsd:element name="MediaServiceAutoTags" ma:index="62" nillable="true" ma:displayName="Tags" ma:internalName="MediaServiceAutoTags" ma:readOnly="true">
      <xsd:simpleType>
        <xsd:restriction base="dms:Text"/>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CR" ma:index="65" nillable="true" ma:displayName="Extracted Text" ma:internalName="MediaServiceOCR" ma:readOnly="true">
      <xsd:simpleType>
        <xsd:restriction base="dms:Note">
          <xsd:maxLength value="255"/>
        </xsd:restriction>
      </xsd:simpleType>
    </xsd:element>
    <xsd:element name="MediaLengthInSeconds" ma:index="6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43b6e5-4c56-4f73-be4f-7e4f9206c6c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c4fdfcbc-f9e1-4073-b8c0-6876601aec86}" ma:internalName="TaxCatchAll" ma:showField="CatchAllData" ma:web="6943b6e5-4c56-4f73-be4f-7e4f9206c6c4">
      <xsd:complexType>
        <xsd:complexContent>
          <xsd:extension base="dms:MultiChoiceLookup">
            <xsd:sequence>
              <xsd:element name="Value" type="dms:Lookup" maxOccurs="unbounded" minOccurs="0" nillable="true"/>
            </xsd:sequence>
          </xsd:extension>
        </xsd:complexContent>
      </xsd:complexType>
    </xsd:element>
    <xsd:element name="SharedWithUsers" ma:index="6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ma:readOnly="false">
      <xsd:simpleType>
        <xsd:restriction base="dms:Choice">
          <xsd:enumeration value="Application, certificate, consent related"/>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19" nillable="true" ma:displayName="Subactivity" ma:default="Team Manager" ma:hidden="true" ma:indexed="true" ma:internalName="Subactivity" ma:readOnly="false">
      <xsd:simpleType>
        <xsd:restriction base="dms:Text">
          <xsd:maxLength value="255"/>
        </xsd:restriction>
      </xsd:simpleType>
    </xsd:element>
    <xsd:element name="Case" ma:index="20" nillable="true" ma:displayName="Case" ma:default="Chief Executive Team" ma:hidden="true" ma:indexed="true" ma:internalName="Case" ma:readOnly="false">
      <xsd:simpleType>
        <xsd:restriction base="dms:Text">
          <xsd:maxLength value="255"/>
        </xsd:restriction>
      </xsd:simpleType>
    </xsd:element>
    <xsd:element name="CategoryName" ma:index="21" nillable="true" ma:displayName="Category 1" ma:default="NA" ma:hidden="true" ma:indexed="true" ma:internalName="CategoryName" ma:readOnly="false">
      <xsd:simpleType>
        <xsd:restriction base="dms:Text">
          <xsd:maxLength value="255"/>
        </xsd:restriction>
      </xsd:simpleType>
    </xsd:element>
    <xsd:element name="CategoryValue" ma:index="22" nillable="true" ma:displayName="Category 2" ma:default="NA" ma:hidden="true" ma:indexed="true" ma:internalName="CategoryValue" ma:readOnly="false">
      <xsd:simpleType>
        <xsd:restriction base="dms:Text">
          <xsd:maxLength value="255"/>
        </xsd:restriction>
      </xsd:simpleType>
    </xsd:element>
    <xsd:element name="FunctionGroup" ma:index="23" nillable="true" ma:displayName="Function Group" ma:default="Sport New Zealand" ma:hidden="true" ma:indexed="true" ma:internalName="FunctionGroup" ma:readOnly="false">
      <xsd:simpleType>
        <xsd:restriction base="dms:Text">
          <xsd:maxLength value="255"/>
        </xsd:restriction>
      </xsd:simpleType>
    </xsd:element>
    <xsd:element name="Function" ma:index="24" nillable="true" ma:displayName="Function" ma:default="Governance" ma:hidden="true" ma:indexed="true" ma:internalName="Function" ma:readOnly="false">
      <xsd:simpleType>
        <xsd:restriction base="dms:Text">
          <xsd:maxLength value="255"/>
        </xsd:restriction>
      </xsd:simpleType>
    </xsd:element>
    <xsd:element name="Activity" ma:index="25" nillable="true" ma:displayName="Activity" ma:default="Chief Executive" ma:hidden="true" ma:indexed="true" ma:internalName="Activity" ma:readOnly="false">
      <xsd:simpleType>
        <xsd:restriction base="dms:Text">
          <xsd:maxLength value="255"/>
        </xsd:restriction>
      </xsd:simpleType>
    </xsd:element>
    <xsd:element name="PRAType" ma:index="28" nillable="true" ma:displayName="PRA Type" ma:default="Doc" ma:hidden="true" ma:internalName="PRAType" ma:readOnly="false">
      <xsd:simpleType>
        <xsd:restriction base="dms:Text">
          <xsd:maxLength value="255"/>
        </xsd:restriction>
      </xsd:simpleType>
    </xsd:element>
    <xsd:element name="PRADate1" ma:index="29" nillable="true" ma:displayName="PRA Date 1" ma:format="DateOnly" ma:hidden="true" ma:internalName="PRADate1" ma:readOnly="false">
      <xsd:simpleType>
        <xsd:restriction base="dms:DateTime"/>
      </xsd:simpleType>
    </xsd:element>
    <xsd:element name="PRADate2" ma:index="30" nillable="true" ma:displayName="PRA Date 2" ma:format="DateOnly" ma:hidden="true" ma:internalName="PRADate2" ma:readOnly="false">
      <xsd:simpleType>
        <xsd:restriction base="dms:DateTime"/>
      </xsd:simpleType>
    </xsd:element>
    <xsd:element name="PRADate3" ma:index="31" nillable="true" ma:displayName="PRA Date 3" ma:format="DateOnly" ma:hidden="true" ma:internalName="PRADate3" ma:readOnly="false">
      <xsd:simpleType>
        <xsd:restriction base="dms:DateTime"/>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3" ma:index="36" nillable="true" ma:displayName="PRA Text 3" ma:hidden="true" ma:internalName="PRAText3" ma:readOnly="false">
      <xsd:simpleType>
        <xsd:restriction base="dms:Text">
          <xsd:maxLength value="255"/>
        </xsd:restriction>
      </xsd:simpleType>
    </xsd:element>
    <xsd:element name="PRAText4" ma:index="37" nillable="true" ma:displayName="PRA Text 4" ma:hidden="true" ma:internalName="PRAText4" ma:readOnly="false">
      <xsd:simpleType>
        <xsd:restriction base="dms:Text">
          <xsd:maxLength value="255"/>
        </xsd:restriction>
      </xsd:simpleType>
    </xsd:element>
    <xsd:element name="PRAText5" ma:index="38" nillable="true" ma:displayName="PRA Text 5" ma:hidden="true" ma:internalName="PRAText5" ma:readOnly="false">
      <xsd:simpleType>
        <xsd:restriction base="dms:Text">
          <xsd:maxLength value="255"/>
        </xsd:restriction>
      </xsd:simpleType>
    </xsd:element>
    <xsd:element name="AggregationStatus" ma:index="39"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0" nillable="true" ma:displayName="Project" ma:default="NA" ma:hidden="true" ma:internalName="Project" ma:readOnly="false">
      <xsd:simpleType>
        <xsd:restriction base="dms:Text">
          <xsd:maxLength value="255"/>
        </xsd:restriction>
      </xsd:simpleType>
    </xsd:element>
    <xsd:element name="RelatedPeople" ma:index="4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8"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2-2023" ma:format="Dropdown" ma:internalName="FinancialYear">
      <xsd:simpleType>
        <xsd:restriction base="dms:Choice">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element>
    <xsd:element name="RecordID" ma:index="46" nillable="true" ma:displayName="RecordID" ma:hidden="true" ma:internalName="RecordID" ma:readOnly="false">
      <xsd:simpleType>
        <xsd:restriction base="dms:Text">
          <xsd:maxLength value="255"/>
        </xsd:restriction>
      </xsd:simpleType>
    </xsd:element>
    <xsd:element name="PartnerType" ma:index="47" nillable="true" ma:displayName="Partner Type" ma:hidden="true" ma:internalName="PartnerType" ma:readOnly="false">
      <xsd:simpleType>
        <xsd:restriction base="dms:Text">
          <xsd:maxLength value="255"/>
        </xsd:restriction>
      </xsd:simpleType>
    </xsd:element>
    <xsd:element name="zMigrationID" ma:index="50" nillable="true" ma:displayName="zMigrationID" ma:indexed="true" ma:internalName="zMigrationID">
      <xsd:simpleType>
        <xsd:restriction base="dms:Text">
          <xsd:maxLength value="255"/>
        </xsd:restriction>
      </xsd:simpleType>
    </xsd:element>
    <xsd:element name="zLegacy" ma:index="51" nillable="true" ma:displayName="zLegacy" ma:hidden="true" ma:internalName="zLegacy" ma:readOnly="false">
      <xsd:simpleType>
        <xsd:restriction base="dms:Note"/>
      </xsd:simpleType>
    </xsd:element>
    <xsd:element name="zLegacyJSON" ma:index="52" nillable="true" ma:displayName="zLegacyJSON" ma:hidden="true" ma:internalName="zLegacyJS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2" ma:format="Dropdown" ma:indexed="true" ma:internalName="Year">
      <xsd:simpleType>
        <xsd:union memberTypes="dms:Text">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union>
      </xsd:simpleType>
    </xsd:element>
    <xsd:element name="Channel" ma:index="26" nillable="true" ma:displayName="Channel" ma:default="NA" ma:hidden="true" ma:indexed="true" ma:internalName="Channel" ma:readOnly="false">
      <xsd:simpleType>
        <xsd:restriction base="dms:Text">
          <xsd:maxLength value="255"/>
        </xsd:restriction>
      </xsd:simpleType>
    </xsd:element>
    <xsd:element name="Team" ma:index="27" nillable="true" ma:displayName="Team" ma:default="Chief Executive Team" ma:hidden="true" ma:indexed="true" ma:internalName="Team" ma:readOnly="false">
      <xsd:simpleType>
        <xsd:restriction base="dms:Text">
          <xsd:maxLength value="255"/>
        </xsd:restriction>
      </xsd:simpleType>
    </xsd:element>
    <xsd:element name="Level2" ma:index="44" nillable="true" ma:displayName="Level2" ma:default="NA" ma:hidden="true" ma:internalName="Level2" ma:readOnly="false">
      <xsd:simpleType>
        <xsd:restriction base="dms:Text">
          <xsd:maxLength value="255"/>
        </xsd:restriction>
      </xsd:simpleType>
    </xsd:element>
    <xsd:element name="Level3" ma:index="45"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element name="SecurityClassification" ma:index="4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2" nillable="true" ma:displayName="Aggregation Narrative" ma:hidden="true" ma:internalName="AggregationNarrativ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F579D7F4-D0D7-4BCB-BBEA-E7C37A64913E}">
  <ds:schemaRefs>
    <ds:schemaRef ds:uri="http://www.w3.org/XML/1998/namespace"/>
    <ds:schemaRef ds:uri="542624b3-cffc-481c-adb1-2d25bc83b1e4"/>
    <ds:schemaRef ds:uri="http://purl.org/dc/elements/1.1/"/>
    <ds:schemaRef ds:uri="http://purl.org/dc/dcmitype/"/>
    <ds:schemaRef ds:uri="15ffb055-6eb4-45a1-bc20-bf2ac0d420da"/>
    <ds:schemaRef ds:uri="acb26242-dc21-4420-965a-f5c1d8109808"/>
    <ds:schemaRef ds:uri="http://schemas.microsoft.com/office/2006/documentManagement/types"/>
    <ds:schemaRef ds:uri="http://schemas.microsoft.com/office/infopath/2007/PartnerControls"/>
    <ds:schemaRef ds:uri="725c79e5-42ce-4aa0-ac78-b6418001f0d2"/>
    <ds:schemaRef ds:uri="cb59e981-3bc6-4f52-8729-00103bb11721"/>
    <ds:schemaRef ds:uri="http://purl.org/dc/terms/"/>
    <ds:schemaRef ds:uri="http://schemas.microsoft.com/office/2006/metadata/properties"/>
    <ds:schemaRef ds:uri="http://schemas.openxmlformats.org/package/2006/metadata/core-properties"/>
    <ds:schemaRef ds:uri="c91a514c-9034-4fa3-897a-8352025b26ed"/>
    <ds:schemaRef ds:uri="4f9c820c-e7e2-444d-97ee-45f2b3485c1d"/>
    <ds:schemaRef ds:uri="c348242c-295e-439d-86fb-91cef3830f07"/>
    <ds:schemaRef ds:uri="6943b6e5-4c56-4f73-be4f-7e4f9206c6c4"/>
  </ds:schemaRefs>
</ds:datastoreItem>
</file>

<file path=customXml/itemProps3.xml><?xml version="1.0" encoding="utf-8"?>
<ds:datastoreItem xmlns:ds="http://schemas.openxmlformats.org/officeDocument/2006/customXml" ds:itemID="{5C46B9DC-BCFA-4E0E-9206-41F3C1B6E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48242c-295e-439d-86fb-91cef3830f07"/>
    <ds:schemaRef ds:uri="6943b6e5-4c56-4f73-be4f-7e4f9206c6c4"/>
    <ds:schemaRef ds:uri="4f9c820c-e7e2-444d-97ee-45f2b3485c1d"/>
    <ds:schemaRef ds:uri="acb26242-dc21-4420-965a-f5c1d8109808"/>
    <ds:schemaRef ds:uri="c91a514c-9034-4fa3-897a-8352025b26ed"/>
    <ds:schemaRef ds:uri="15ffb055-6eb4-45a1-bc20-bf2ac0d420da"/>
    <ds:schemaRef ds:uri="725c79e5-42ce-4aa0-ac78-b6418001f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Paula Ryan</cp:lastModifiedBy>
  <cp:revision/>
  <dcterms:created xsi:type="dcterms:W3CDTF">2010-10-17T20:59:02Z</dcterms:created>
  <dcterms:modified xsi:type="dcterms:W3CDTF">2022-07-27T20:29:37Z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0x0101001E94C3B72383DE4DAA17349E0BBF25260032CFC75FAC070146B08F933B6963AEAD</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Entity">
    <vt:lpwstr/>
  </property>
  <property fmtid="{D5CDD505-2E9C-101B-9397-08002B2CF9AE}" pid="12" name="Region">
    <vt:lpwstr/>
  </property>
  <property fmtid="{D5CDD505-2E9C-101B-9397-08002B2CF9AE}" pid="13" name="Sport">
    <vt:lpwstr/>
  </property>
</Properties>
</file>